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FOI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<sst xmlns="http://schemas.openxmlformats.org/spreadsheetml/2006/main" count="963" uniqueCount="600">
  <si>
    <r>
      <rPr>
        <b/>
        <sz val="12"/>
        <color rgb="FF000000"/>
        <rFont val="Arial"/>
        <charset val="238"/>
      </rPr>
      <t>POLUGODIŠNJI IZVJEŠTAJ O IZVRŠENJU FINANCIJSKOG PLANA FAKULTETA ORGANIZACIJE I INFORMATIKE, VARAŽDIN</t>
    </r>
    <r>
      <rPr>
        <b/>
        <sz val="12"/>
        <color rgb="FFFF0000"/>
        <rFont val="Arial"/>
        <charset val="238"/>
      </rPr>
      <t xml:space="preserve">  </t>
    </r>
    <r>
      <rPr>
        <b/>
        <sz val="12"/>
        <color rgb="FF000000"/>
        <rFont val="Arial"/>
        <charset val="238"/>
      </rPr>
      <t xml:space="preserve">
ZA PRVO POLUGODIŠTE 2023. GODINE</t>
    </r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</si>
  <si>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</si>
  <si>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</si>
  <si>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</si>
  <si>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</si>
  <si>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</si>
  <si>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</si>
  <si>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</si>
  <si>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</si>
  <si>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</si>
  <si>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</si>
  <si>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</si>
  <si>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</si>
  <si>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</si>
  <si>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</si>
  <si>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</si>
  <si>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</si>
  <si>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</si>
  <si>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</si>
  <si>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</si>
  <si>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</si>
  <si>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</si>
  <si>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</si>
  <si>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</si>
  <si>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</si>
  <si>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</si>
  <si>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</si>
  <si>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</si>
  <si>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 : Iznosi u stupcima "OSTVARENJE/IZVRŠENJE 1.-6.2023." i "OSTVARENJE/IZVRŠENJE 1.-6. 2024."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</si>
  <si>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</si>
  <si>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</si>
  <si>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 xml:space="preserve"> RAČUN PRIHODA I RASHODA </t>
  </si>
  <si>
    <t xml:space="preserve">IZVJEŠTAJ O PRIHODIMA I RASHODIMA PREMA EKONOMSKOJ KLASIFIKACIJI </t>
  </si>
  <si>
    <t>OSTVARENJE/IZVRŠENJE 
01.2023. - 06.2023.</t>
  </si>
  <si>
    <t>IZVORNI PLAN ILI REBALANS 
2024.</t>
  </si>
  <si>
    <t>TEKUĆI PLAN 
2024.</t>
  </si>
  <si>
    <t>OSTVARENJE/IZVRŠENJE 
01.2024. - 06.2024.</t>
  </si>
  <si>
    <t>INDEKS
(5)/(2)</t>
  </si>
  <si>
    <t>INDEKS
(5)/(4)</t>
  </si>
  <si>
    <t>Prihodi i rashodi</t>
  </si>
  <si>
    <t/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</si>
  <si>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</si>
  <si>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</si>
  <si>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</si>
  <si>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</si>
  <si>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</si>
  <si>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</si>
  <si>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</si>
  <si>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</si>
  <si>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</si>
  <si>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</si>
  <si>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</si>
  <si>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</si>
  <si>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</si>
  <si>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</si>
  <si>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</si>
  <si>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</si>
  <si>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</si>
  <si>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</si>
  <si>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</si>
  <si>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</si>
  <si>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</si>
  <si>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</si>
  <si>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</si>
  <si>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</si>
  <si>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</si>
  <si>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</si>
  <si>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</si>
  <si>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</si>
  <si>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</si>
  <si>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</si>
  <si>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</si>
  <si>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</si>
  <si>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</si>
  <si>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</si>
  <si>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</si>
  <si>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</si>
  <si>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</si>
  <si>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</si>
  <si>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</si>
  <si>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</si>
  <si>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</si>
  <si>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</si>
  <si>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</si>
  <si>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</si>
  <si>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</si>
  <si>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</si>
  <si>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</si>
  <si>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</si>
  <si>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</si>
  <si>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</si>
  <si>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</si>
  <si>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</si>
  <si>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</si>
  <si>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</si>
  <si>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</si>
  <si>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</si>
  <si>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</si>
  <si>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</si>
  <si>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</si>
  <si>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</si>
  <si>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</si>
  <si>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</si>
  <si>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</si>
  <si>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</si>
  <si>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</si>
  <si>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</si>
  <si>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</si>
  <si>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</si>
  <si>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</si>
  <si>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</si>
  <si>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</si>
  <si>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</si>
  <si>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</si>
  <si>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</si>
  <si>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</si>
  <si>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</si>
  <si>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</si>
  <si>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</si>
  <si>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</si>
  <si>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</si>
  <si>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</si>
  <si>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</si>
  <si>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</si>
  <si>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</si>
  <si>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</si>
  <si>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</si>
  <si>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</si>
  <si>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</si>
  <si>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</si>
  <si>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</si>
  <si>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</si>
  <si>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</si>
  <si>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</si>
  <si>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</si>
  <si>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</si>
  <si>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</si>
  <si>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</si>
  <si>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</si>
  <si>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</si>
  <si>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</si>
  <si>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</si>
  <si>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</si>
  <si>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</si>
  <si>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</si>
  <si>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</si>
  <si>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</si>
  <si>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</si>
  <si>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</si>
  <si>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</si>
  <si>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</si>
  <si>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</si>
  <si>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</si>
  <si>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</si>
  <si>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</si>
  <si>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</si>
  <si>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</si>
  <si>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</si>
  <si>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</si>
  <si>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</si>
  <si>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</si>
  <si>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</si>
  <si>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</si>
  <si>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</si>
  <si>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</si>
  <si>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</si>
  <si>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</si>
  <si>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</si>
  <si>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</si>
  <si>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</si>
  <si>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</si>
  <si>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</si>
  <si>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</si>
  <si>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</si>
  <si>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</si>
  <si>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</si>
  <si>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</si>
  <si>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</si>
  <si>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</si>
  <si>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</si>
  <si>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</si>
  <si>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</si>
  <si>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</si>
  <si>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</si>
  <si>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</si>
  <si>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</si>
  <si>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</si>
  <si>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</si>
  <si>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</si>
  <si>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</si>
  <si>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</si>
  <si>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</si>
  <si>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</si>
  <si>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</si>
  <si>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</si>
  <si>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</si>
  <si>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</si>
  <si>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</si>
  <si>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</si>
  <si>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</si>
  <si>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</si>
  <si>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</si>
  <si>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</si>
  <si>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</si>
  <si>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</si>
  <si>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</si>
  <si>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</si>
  <si>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</si>
  <si>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</si>
  <si>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</si>
  <si>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</si>
  <si>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</si>
  <si>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</si>
  <si>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</si>
  <si>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</si>
  <si>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</si>
  <si>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</si>
  <si>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</si>
  <si>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</si>
  <si>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</si>
  <si>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</si>
  <si>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</si>
  <si>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</si>
  <si>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</si>
  <si>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</si>
  <si>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</si>
  <si>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</si>
  <si>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</si>
  <si>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</si>
  <si>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</si>
  <si>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</si>
  <si>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</si>
  <si>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</si>
  <si>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</si>
  <si>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</si>
  <si>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</si>
  <si>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</si>
  <si>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</si>
  <si>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</si>
  <si>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</si>
  <si>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</si>
  <si>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</si>
  <si>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</si>
  <si>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</si>
  <si>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</si>
  <si>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</si>
  <si>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</si>
  <si>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</si>
  <si>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</si>
  <si>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</si>
  <si>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</si>
  <si>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</si>
  <si>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</si>
  <si>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</si>
  <si>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</si>
  <si>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</si>
  <si>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</si>
  <si>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</si>
  <si>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</si>
  <si>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</si>
  <si>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</si>
  <si>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</si>
  <si>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</si>
  <si>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</si>
  <si>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</si>
  <si>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</si>
  <si>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</si>
  <si>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</si>
  <si>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</si>
  <si>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</si>
  <si>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</si>
  <si>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</si>
  <si>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</si>
  <si>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</si>
  <si>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</si>
  <si>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</si>
  <si>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</si>
  <si>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</si>
  <si>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</si>
  <si>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</si>
  <si>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</si>
  <si>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</si>
  <si>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</si>
  <si>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</si>
  <si>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</si>
  <si>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</si>
  <si>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</si>
  <si>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</si>
  <si>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</si>
  <si>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</si>
  <si>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</si>
  <si>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</si>
  <si>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</si>
  <si>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</si>
  <si>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</si>
  <si>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</si>
  <si>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</si>
  <si>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</si>
  <si>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</si>
  <si>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</si>
  <si>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</si>
  <si>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</si>
  <si>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</si>
  <si>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</si>
  <si>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</si>
  <si>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</si>
  <si>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</si>
  <si>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</si>
  <si>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</si>
  <si>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</si>
  <si>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</si>
  <si>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</si>
  <si>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</si>
  <si>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</si>
  <si>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</si>
  <si>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</si>
  <si>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</si>
  <si>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</si>
  <si>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</si>
  <si>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</si>
  <si>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</si>
  <si>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</si>
  <si>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</si>
  <si>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</si>
  <si>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</si>
  <si>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</si>
  <si>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</si>
  <si>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</si>
  <si>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</si>
  <si>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</si>
  <si>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</si>
  <si>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</si>
  <si>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</si>
  <si>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</si>
  <si>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</si>
  <si>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</si>
  <si>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</si>
  <si>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</si>
  <si>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</si>
  <si>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</si>
  <si>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</si>
  <si>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</si>
  <si>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</si>
  <si>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</si>
  <si>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</si>
  <si>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</si>
  <si>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</si>
  <si>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</si>
  <si>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</si>
  <si>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</si>
  <si>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</si>
  <si>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</si>
  <si>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</si>
  <si>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</si>
  <si>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</si>
  <si>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</si>
  <si>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</si>
  <si>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</si>
  <si>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</si>
  <si>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</si>
  <si>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</si>
  <si>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</si>
  <si>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</si>
  <si>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</si>
  <si>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</si>
  <si>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</si>
  <si>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</si>
  <si>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</si>
  <si>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</si>
  <si>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</si>
  <si>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</si>
  <si>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</si>
  <si>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</si>
  <si>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</si>
  <si>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</si>
  <si>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</si>
  <si>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</si>
  <si>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</si>
  <si>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</si>
  <si>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</si>
  <si>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</si>
  <si>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</si>
  <si>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</si>
  <si>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</si>
  <si>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</si>
  <si>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</si>
  <si>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</si>
  <si>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</si>
  <si>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</si>
  <si>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</si>
  <si>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</si>
  <si>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</si>
  <si>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</si>
  <si>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</si>
  <si>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</si>
  <si>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</si>
  <si>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</si>
  <si>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</si>
  <si>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</si>
  <si>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</si>
  <si>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</si>
  <si>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</si>
  <si>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</si>
  <si>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</si>
  <si>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</si>
  <si>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</si>
  <si>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</si>
  <si>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</si>
  <si>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</si>
  <si>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</si>
  <si>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</si>
  <si>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</si>
  <si>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</si>
  <si>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</si>
  <si>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</si>
  <si>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</si>
  <si>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</si>
  <si>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</si>
  <si>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</si>
  <si>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</si>
  <si>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</si>
  <si>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</si>
  <si>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</si>
  <si>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</si>
  <si>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</si>
  <si>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</si>
  <si>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</si>
  <si>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</si>
  <si>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</si>
  <si>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</si>
  <si>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</si>
  <si>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</si>
  <si>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</si>
  <si>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</si>
  <si>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</si>
  <si>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</si>
  <si>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</si>
  <si>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</si>
  <si>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</si>
  <si>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</si>
  <si>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</si>
  <si>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</si>
  <si>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</si>
  <si>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</si>
  <si>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</si>
  <si>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</si>
  <si>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</si>
  <si>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</si>
  <si>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</si>
  <si>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</si>
  <si>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</si>
  <si>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</si>
  <si>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</si>
  <si>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</si>
  <si>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</si>
  <si>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</si>
  <si>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</si>
  <si>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</si>
  <si>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</si>
  <si>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</si>
  <si>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</si>
  <si>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</si>
  <si>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</si>
  <si>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</si>
  <si>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</si>
  <si>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</si>
  <si>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</si>
  <si>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</si>
  <si>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</si>
  <si>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</si>
  <si>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</si>
  <si>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</si>
  <si>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</si>
  <si>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</si>
  <si>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</si>
  <si>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</si>
  <si>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</si>
  <si>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</t>
  </si>
  <si>
    <t>1</t>
  </si>
  <si>
    <t>Opći prihodi i primici</t>
  </si>
  <si>
    <t>11</t>
  </si>
  <si>
    <t>Vlastiti prihodi</t>
  </si>
  <si>
    <t>Prihodi za posebne namjene</t>
  </si>
  <si>
    <t>Ostali prihodi za posebne namjene</t>
  </si>
  <si>
    <t>5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</si>
  <si>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</si>
  <si>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</si>
  <si>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</si>
  <si>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</si>
  <si>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</si>
  <si>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</si>
  <si>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</si>
  <si>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</si>
  <si>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</si>
  <si>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</si>
  <si>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</si>
  <si>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</si>
  <si>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</si>
  <si>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</si>
  <si>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RASHODI</t>
  </si>
  <si>
    <t>12</t>
  </si>
  <si>
    <t>Sredstva učešća za pomoći</t>
  </si>
  <si>
    <t>8</t>
  </si>
  <si>
    <t>Namjenski primici od zaduživanja</t>
  </si>
  <si>
    <t>81</t>
  </si>
  <si>
    <t>IZVJEŠTAJ O RASHODIMA PREMA FUNKCIJSKOJ KLASIFIKACIJI</t>
  </si>
  <si>
    <t>Rashodi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</si>
  <si>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</si>
  <si>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</si>
  <si>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</si>
  <si>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</si>
  <si>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</si>
  <si>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</si>
  <si>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</si>
  <si>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</si>
  <si>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</si>
  <si>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</si>
  <si>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</si>
  <si>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</si>
  <si>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</si>
  <si>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</si>
  <si>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</si>
  <si>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</si>
  <si>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</si>
  <si>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</si>
  <si>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</si>
  <si>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</si>
  <si>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</si>
  <si>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</si>
  <si>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</si>
  <si>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</si>
  <si>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</si>
  <si>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</si>
  <si>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</si>
  <si>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</si>
  <si>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</si>
  <si>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</si>
  <si>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</si>
  <si>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</si>
  <si>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</si>
  <si>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</si>
  <si>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</si>
  <si>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</si>
  <si>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</si>
  <si>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</si>
  <si>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</si>
  <si>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</si>
  <si>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</si>
  <si>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</si>
  <si>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</si>
  <si>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</si>
  <si>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</si>
  <si>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</si>
  <si>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</si>
  <si>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</si>
  <si>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</si>
  <si>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</si>
  <si>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</si>
  <si>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</si>
  <si>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</si>
  <si>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</si>
  <si>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</si>
  <si>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RKP-NAZIV PRORAČUNSKOG KORISNIKA: 2063 FAKULTET ORGANIZACIJE I INFORMATIKE U VARAŽDINU</t>
  </si>
  <si>
    <t>MJESTO I DATUM: VARAŽDIN, 7. PROSINCA 2023</t>
  </si>
  <si>
    <t>OSOBA ZA KONTAKTIRANJE: MATEA ŠOŠTAREC</t>
  </si>
  <si>
    <t>TELEFON ZA KONTAKT: 042390807</t>
  </si>
  <si>
    <t>EMAIL ZA KONTAKT: masostarec@foi.unizg.hr</t>
  </si>
  <si>
    <t>POLUGODIŠNJI IZVJEŠTAJ O IZVRŠENJU FINANCIJSKOG PLANA ZA 2024. GODINU</t>
  </si>
  <si>
    <t>II. POSEBNI DIO FINANCIJSKOG PLANA</t>
  </si>
  <si>
    <t>FAKULTET ORGANIZACIJE I INFORMATIKE</t>
  </si>
  <si>
    <t>OSTVARENJE/IZVRŠENJE
01.2024.-06.2024.</t>
  </si>
  <si>
    <t>IZVORNI PLAN ILI REBALANS 2024.
2023.</t>
  </si>
  <si>
    <t>Europski socijalni fond (ESF)</t>
  </si>
  <si>
    <t>Prihodi od nefinancijske imovine i nadoknade štete</t>
  </si>
  <si>
    <t>3705</t>
  </si>
  <si>
    <t>VISOKO OBRAZOVANJE</t>
  </si>
  <si>
    <t>A621001</t>
  </si>
  <si>
    <t>REDOVNA DJELATNOST SVEUČILIŠTA U ZAGREBU</t>
  </si>
  <si>
    <t>OPĆI PRIHODI I PRIMICI</t>
  </si>
  <si>
    <t>A622122</t>
  </si>
  <si>
    <t>PROGRAMSKO FINANCIRANJE JAVNIH VISOKIH UČILIŠTA</t>
  </si>
  <si>
    <t>A621038</t>
  </si>
  <si>
    <t>PROGRAMI VJEŽBAONICA VISOKIH UČILIŠTA</t>
  </si>
  <si>
    <t>A622181</t>
  </si>
  <si>
    <t>PRAVOMOĆNE SUDSKE PRESUDE</t>
  </si>
  <si>
    <t>A679088</t>
  </si>
  <si>
    <t>REDOVNA DJELATNOST SVEUČILIŠTA U ZAGREBU (IZ EVIDENCIJSKIH PRIHODA)</t>
  </si>
  <si>
    <t>VLASTITI PRIHODI</t>
  </si>
  <si>
    <t>OSTALI PRIHODI ZA POSEBNE NAMJENE</t>
  </si>
  <si>
    <t>DONACIJE</t>
  </si>
  <si>
    <t>PRIHODI OD NEFINANCIJSKE IMOVINE I NADOKNADE ŠTETE</t>
  </si>
  <si>
    <t>A679078</t>
  </si>
  <si>
    <t>EU PROJEKTI SVEUČILIŠTA U ZAGREBU (IZ EVIDENCIJSKIH PRIHODA)</t>
  </si>
  <si>
    <t>K679106</t>
  </si>
  <si>
    <t>OP UČINKOVITI LJUDSKI POTENCIJALI 2014-2020, PRIORITET 3</t>
  </si>
  <si>
    <t>SREDSTVA UČEŠĆA ZA POMOĆI</t>
  </si>
  <si>
    <t>EUROPSKI SOCIJALNI FOND (ESF)</t>
  </si>
  <si>
    <t>D E K A N I C A :</t>
  </si>
  <si>
    <t>DEKANICA:</t>
  </si>
  <si>
    <t>prof.dr.sc. Marina Klačmer Čalopa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</si>
</sst>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66">
    <font>
      <sz val="11"/>
      <color theme="1"/>
      <name val="Calibri"/>
      <charset val="134"/>
      <scheme val="minor"/>
    </font>
    <font>
      <sz val="12"/>
      <color rgb="FF002060"/>
      <name val="Calibri"/>
      <charset val="134"/>
      <scheme val="minor"/>
    </font>
    <font>
      <i/>
      <sz val="12"/>
      <color rgb="FF002060"/>
      <name val="Calibri"/>
      <charset val="134"/>
      <scheme val="minor"/>
    </font>
    <font>
      <b/>
      <i/>
      <sz val="12"/>
      <color rgb="FF002060"/>
      <name val="Calibri"/>
      <charset val="134"/>
      <scheme val="minor"/>
    </font>
    <font>
      <b/>
      <i/>
      <sz val="8"/>
      <color rgb="FF002060"/>
      <name val="Calibri"/>
      <charset val="134"/>
      <scheme val="minor"/>
    </font>
    <font>
      <sz val="9"/>
      <color theme="1"/>
      <name val="Calibri"/>
      <charset val="238"/>
      <scheme val="minor"/>
    </font>
    <font>
      <b/>
      <sz val="12"/>
      <color rgb="FF002060"/>
      <name val="Calibri"/>
      <charset val="134"/>
      <scheme val="minor"/>
    </font>
    <font>
      <sz val="11"/>
      <color theme="1"/>
      <name val="Calibri Light"/>
      <charset val="238"/>
      <scheme val="major"/>
    </font>
    <font>
      <sz val="11"/>
      <color theme="1"/>
      <name val="Calibri"/>
      <charset val="238"/>
      <scheme val="minor"/>
    </font>
    <font>
      <b/>
      <sz val="11"/>
      <color theme="1"/>
      <name val="Calibri Light"/>
      <charset val="238"/>
      <scheme val="major"/>
    </font>
    <font>
      <b/>
      <sz val="16"/>
      <color theme="1"/>
      <name val="Calibri Light"/>
      <charset val="238"/>
      <scheme val="major"/>
    </font>
    <font>
      <b/>
      <sz val="10"/>
      <color indexed="8"/>
      <name val="Calibri Light"/>
      <charset val="238"/>
      <scheme val="major"/>
    </font>
    <font>
      <sz val="9"/>
      <name val="Calibri Light"/>
      <charset val="238"/>
      <scheme val="major"/>
    </font>
    <font>
      <b/>
      <sz val="9"/>
      <name val="Calibri Light"/>
      <charset val="238"/>
      <scheme val="major"/>
    </font>
    <font>
      <sz val="8"/>
      <name val="Arial"/>
      <charset val="134"/>
    </font>
    <font>
      <sz val="10"/>
      <name val="Times New Roman"/>
      <charset val="134"/>
    </font>
    <font>
      <sz val="8"/>
      <name val="Times New Roman"/>
      <charset val="134"/>
    </font>
    <font>
      <b/>
      <sz val="14"/>
      <color indexed="8"/>
      <name val="Arial"/>
      <charset val="238"/>
    </font>
    <font>
      <b/>
      <sz val="12"/>
      <color indexed="8"/>
      <name val="Arial"/>
      <charset val="238"/>
    </font>
    <font>
      <b/>
      <sz val="11"/>
      <name val="Times New Roman"/>
      <charset val="134"/>
    </font>
    <font>
      <b/>
      <sz val="8"/>
      <name val="Times New Roman"/>
      <charset val="134"/>
    </font>
    <font>
      <sz val="10"/>
      <name val="Arial"/>
      <charset val="238"/>
    </font>
    <font>
      <sz val="10"/>
      <color indexed="44"/>
      <name val="Arial"/>
      <charset val="238"/>
    </font>
    <font>
      <sz val="10"/>
      <name val="Times New Roman"/>
      <charset val="238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Times New Roman"/>
      <charset val="238"/>
    </font>
    <font>
      <sz val="10"/>
      <color indexed="8"/>
      <name val="Arial"/>
      <charset val="238"/>
    </font>
    <font>
      <b/>
      <sz val="10"/>
      <name val="Arial"/>
      <charset val="238"/>
    </font>
    <font>
      <b/>
      <sz val="10"/>
      <color indexed="44"/>
      <name val="Arial"/>
      <charset val="238"/>
    </font>
    <font>
      <b/>
      <sz val="10"/>
      <name val="Times New Roman"/>
      <charset val="238"/>
    </font>
    <font>
      <b/>
      <sz val="10"/>
      <color indexed="8"/>
      <name val="Times New Roman"/>
      <charset val="238"/>
    </font>
    <font>
      <b/>
      <sz val="10"/>
      <color indexed="8"/>
      <name val="Arial"/>
      <charset val="238"/>
    </font>
    <font>
      <b/>
      <sz val="10"/>
      <color indexed="8"/>
      <name val="Arial"/>
      <charset val="134"/>
    </font>
    <font>
      <b/>
      <sz val="10"/>
      <name val="Times New Roman"/>
      <charset val="134"/>
    </font>
    <font>
      <b/>
      <sz val="12"/>
      <color rgb="FF000000"/>
      <name val="Arial"/>
      <charset val="238"/>
    </font>
    <font>
      <b/>
      <sz val="14"/>
      <color rgb="FFFF0000"/>
      <name val="Arial"/>
      <charset val="238"/>
    </font>
    <font>
      <b/>
      <sz val="11"/>
      <color theme="1"/>
      <name val="Calibri"/>
      <charset val="238"/>
      <scheme val="minor"/>
    </font>
    <font>
      <b/>
      <sz val="8"/>
      <color indexed="8"/>
      <name val="Arial"/>
      <charset val="238"/>
    </font>
    <font>
      <sz val="14"/>
      <color indexed="8"/>
      <name val="Arial"/>
      <charset val="238"/>
    </font>
    <font>
      <b/>
      <sz val="10"/>
      <color rgb="FFFF0000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39"/>
      <name val="Arial"/>
      <charset val="134"/>
    </font>
    <font>
      <b/>
      <sz val="16"/>
      <name val="Arial"/>
      <charset val="238"/>
    </font>
    <font>
      <sz val="10"/>
      <color indexed="10"/>
      <name val="Arial"/>
      <charset val="134"/>
    </font>
    <font>
      <b/>
      <sz val="12"/>
      <color rgb="FFFF0000"/>
      <name val="Arial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</borders>
  <cellStyleXfs count="97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11" applyNumberFormat="0" applyAlignment="0" applyProtection="0">
      <alignment vertical="center"/>
    </xf>
    <xf numFmtId="0" fontId="50" fillId="14" borderId="12" applyNumberFormat="0" applyAlignment="0" applyProtection="0">
      <alignment vertical="center"/>
    </xf>
    <xf numFmtId="0" fontId="51" fillId="14" borderId="11" applyNumberFormat="0" applyAlignment="0" applyProtection="0">
      <alignment vertical="center"/>
    </xf>
    <xf numFmtId="0" fontId="52" fillId="15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21" fillId="0" borderId="0"/>
    <xf numFmtId="0" fontId="60" fillId="0" borderId="0"/>
    <xf numFmtId="0" fontId="8" fillId="0" borderId="0"/>
    <xf numFmtId="0" fontId="8" fillId="0" borderId="0"/>
    <xf numFmtId="0" fontId="27" fillId="0" borderId="0"/>
    <xf numFmtId="4" fontId="61" fillId="42" borderId="16" applyNumberFormat="0" applyProtection="0">
      <alignment vertical="center"/>
    </xf>
    <xf numFmtId="4" fontId="62" fillId="42" borderId="16" applyNumberFormat="0" applyProtection="0">
      <alignment vertical="center"/>
    </xf>
    <xf numFmtId="4" fontId="61" fillId="42" borderId="16" applyNumberFormat="0" applyProtection="0">
      <alignment horizontal="left" vertical="center" indent="1"/>
    </xf>
    <xf numFmtId="4" fontId="61" fillId="42" borderId="16" applyNumberFormat="0" applyProtection="0">
      <alignment horizontal="left" vertical="center" indent="1"/>
    </xf>
    <xf numFmtId="0" fontId="28" fillId="43" borderId="16" applyNumberFormat="0" applyProtection="0">
      <alignment horizontal="left" vertical="center" indent="1"/>
    </xf>
    <xf numFmtId="4" fontId="61" fillId="44" borderId="16" applyNumberFormat="0" applyProtection="0">
      <alignment horizontal="right" vertical="center"/>
    </xf>
    <xf numFmtId="4" fontId="61" fillId="45" borderId="16" applyNumberFormat="0" applyProtection="0">
      <alignment horizontal="right" vertical="center"/>
    </xf>
    <xf numFmtId="4" fontId="61" fillId="46" borderId="16" applyNumberFormat="0" applyProtection="0">
      <alignment horizontal="right" vertical="center"/>
    </xf>
    <xf numFmtId="4" fontId="61" fillId="47" borderId="16" applyNumberFormat="0" applyProtection="0">
      <alignment horizontal="right" vertical="center"/>
    </xf>
    <xf numFmtId="4" fontId="61" fillId="48" borderId="16" applyNumberFormat="0" applyProtection="0">
      <alignment horizontal="right" vertical="center"/>
    </xf>
    <xf numFmtId="4" fontId="61" fillId="49" borderId="16" applyNumberFormat="0" applyProtection="0">
      <alignment horizontal="right" vertical="center"/>
    </xf>
    <xf numFmtId="4" fontId="61" fillId="50" borderId="16" applyNumberFormat="0" applyProtection="0">
      <alignment horizontal="right" vertical="center"/>
    </xf>
    <xf numFmtId="4" fontId="61" fillId="51" borderId="16" applyNumberFormat="0" applyProtection="0">
      <alignment horizontal="right" vertical="center"/>
    </xf>
    <xf numFmtId="4" fontId="61" fillId="52" borderId="16" applyNumberFormat="0" applyProtection="0">
      <alignment horizontal="right" vertical="center"/>
    </xf>
    <xf numFmtId="4" fontId="33" fillId="53" borderId="16" applyNumberFormat="0" applyProtection="0">
      <alignment horizontal="left" vertical="center" indent="1"/>
    </xf>
    <xf numFmtId="4" fontId="61" fillId="54" borderId="17" applyNumberFormat="0" applyProtection="0">
      <alignment horizontal="left" vertical="center" indent="1"/>
    </xf>
    <xf numFmtId="4" fontId="18" fillId="55" borderId="0" applyNumberFormat="0" applyProtection="0">
      <alignment horizontal="left" vertical="center" indent="1"/>
    </xf>
    <xf numFmtId="0" fontId="29" fillId="43" borderId="16" applyNumberFormat="0" applyProtection="0">
      <alignment horizontal="center" vertical="center"/>
    </xf>
    <xf numFmtId="4" fontId="27" fillId="54" borderId="16" applyNumberFormat="0" applyProtection="0">
      <alignment horizontal="left" vertical="center" indent="1"/>
    </xf>
    <xf numFmtId="4" fontId="27" fillId="56" borderId="16" applyNumberFormat="0" applyProtection="0">
      <alignment horizontal="left" vertical="center" indent="1"/>
    </xf>
    <xf numFmtId="0" fontId="30" fillId="0" borderId="16" applyNumberFormat="0" applyProtection="0">
      <alignment horizontal="left" vertical="center" wrapText="1"/>
    </xf>
    <xf numFmtId="0" fontId="21" fillId="56" borderId="16" applyNumberFormat="0" applyProtection="0">
      <alignment horizontal="left" vertical="center" indent="1"/>
    </xf>
    <xf numFmtId="0" fontId="30" fillId="0" borderId="16" applyNumberFormat="0" applyProtection="0">
      <alignment horizontal="left" vertical="center" wrapText="1"/>
    </xf>
    <xf numFmtId="0" fontId="21" fillId="57" borderId="16" applyNumberFormat="0" applyProtection="0">
      <alignment horizontal="left" vertical="center" indent="1"/>
    </xf>
    <xf numFmtId="0" fontId="30" fillId="0" borderId="16" applyNumberFormat="0" applyProtection="0">
      <alignment horizontal="left" vertical="center" wrapText="1"/>
    </xf>
    <xf numFmtId="0" fontId="21" fillId="58" borderId="16" applyNumberFormat="0" applyProtection="0">
      <alignment horizontal="left" vertical="center" indent="1"/>
    </xf>
    <xf numFmtId="0" fontId="23" fillId="0" borderId="16" applyNumberFormat="0" applyProtection="0">
      <alignment horizontal="left" vertical="center" wrapText="1"/>
    </xf>
    <xf numFmtId="0" fontId="21" fillId="59" borderId="16" applyNumberFormat="0" applyProtection="0">
      <alignment horizontal="left" vertical="center" indent="1"/>
    </xf>
    <xf numFmtId="0" fontId="21" fillId="0" borderId="0"/>
    <xf numFmtId="0" fontId="60" fillId="0" borderId="0"/>
    <xf numFmtId="4" fontId="61" fillId="60" borderId="16" applyNumberFormat="0" applyProtection="0">
      <alignment vertical="center"/>
    </xf>
    <xf numFmtId="4" fontId="62" fillId="60" borderId="16" applyNumberFormat="0" applyProtection="0">
      <alignment vertical="center"/>
    </xf>
    <xf numFmtId="4" fontId="61" fillId="60" borderId="16" applyNumberFormat="0" applyProtection="0">
      <alignment horizontal="left" vertical="center" indent="1"/>
    </xf>
    <xf numFmtId="4" fontId="61" fillId="60" borderId="16" applyNumberFormat="0" applyProtection="0">
      <alignment horizontal="left" vertical="center" indent="1"/>
    </xf>
    <xf numFmtId="4" fontId="26" fillId="0" borderId="16" applyNumberFormat="0" applyProtection="0">
      <alignment horizontal="right" vertical="center"/>
    </xf>
    <xf numFmtId="4" fontId="62" fillId="54" borderId="16" applyNumberFormat="0" applyProtection="0">
      <alignment horizontal="right" vertical="center"/>
    </xf>
    <xf numFmtId="0" fontId="23" fillId="59" borderId="16" applyNumberFormat="0" applyProtection="0">
      <alignment horizontal="left" vertical="center" indent="1"/>
    </xf>
    <xf numFmtId="0" fontId="28" fillId="43" borderId="16" applyNumberFormat="0" applyProtection="0">
      <alignment horizontal="center" vertical="top" wrapText="1"/>
    </xf>
    <xf numFmtId="0" fontId="63" fillId="0" borderId="0" applyNumberFormat="0" applyProtection="0"/>
    <xf numFmtId="4" fontId="64" fillId="54" borderId="16" applyNumberFormat="0" applyProtection="0">
      <alignment horizontal="right" vertical="center"/>
    </xf>
    <xf numFmtId="0" fontId="14" fillId="61" borderId="2" applyNumberFormat="0" applyProtection="0">
      <alignment horizontal="left" vertical="center" indent="1"/>
    </xf>
    <xf numFmtId="4" fontId="14" fillId="0" borderId="2" applyNumberFormat="0" applyProtection="0">
      <alignment horizontal="right" vertical="center"/>
    </xf>
    <xf numFmtId="4" fontId="14" fillId="42" borderId="2" applyNumberFormat="0" applyProtection="0">
      <alignment vertical="center"/>
    </xf>
  </cellStyleXfs>
  <cellXfs count="205">
    <xf numFmtId="0" fontId="0" fillId="0" borderId="0" xfId="0"/>
    <xf numFmtId="3" fontId="1" fillId="0" borderId="0" xfId="0" applyNumberFormat="1" applyFont="1" applyFill="1" applyAlignment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/>
    <xf numFmtId="3" fontId="4" fillId="0" borderId="0" xfId="0" applyNumberFormat="1" applyFont="1" applyFill="1" applyAlignment="1"/>
    <xf numFmtId="0" fontId="5" fillId="0" borderId="0" xfId="0" applyFont="1" applyFill="1" applyAlignment="1"/>
    <xf numFmtId="3" fontId="6" fillId="0" borderId="0" xfId="0" applyNumberFormat="1" applyFont="1" applyFill="1" applyAlignment="1"/>
    <xf numFmtId="3" fontId="1" fillId="0" borderId="0" xfId="0" applyNumberFormat="1" applyFont="1" applyFill="1" applyBorder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4" fontId="8" fillId="0" borderId="0" xfId="0" applyNumberFormat="1" applyFont="1" applyFill="1" applyAlignment="1"/>
    <xf numFmtId="0" fontId="8" fillId="0" borderId="0" xfId="0" applyFont="1" applyFill="1" applyAlignment="1"/>
    <xf numFmtId="0" fontId="8" fillId="0" borderId="0" xfId="0" applyFont="1" applyFill="1"/>
    <xf numFmtId="0" fontId="7" fillId="0" borderId="0" xfId="0" applyFont="1" applyFill="1" applyAlignment="1">
      <alignment horizontal="left"/>
    </xf>
    <xf numFmtId="4" fontId="1" fillId="0" borderId="0" xfId="0" applyNumberFormat="1" applyFont="1" applyFill="1" applyAlignment="1"/>
    <xf numFmtId="4" fontId="2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4" fontId="4" fillId="0" borderId="0" xfId="0" applyNumberFormat="1" applyFont="1" applyFill="1" applyAlignment="1"/>
    <xf numFmtId="0" fontId="10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94" applyFont="1" applyFill="1" applyBorder="1" applyAlignment="1">
      <alignment horizontal="right" vertical="center"/>
    </xf>
    <xf numFmtId="0" fontId="12" fillId="0" borderId="1" xfId="94" applyFont="1" applyFill="1" applyBorder="1">
      <alignment horizontal="left" vertical="center" indent="1"/>
    </xf>
    <xf numFmtId="4" fontId="12" fillId="0" borderId="1" xfId="95" applyNumberFormat="1" applyFont="1" applyFill="1" applyBorder="1">
      <alignment horizontal="right" vertical="center"/>
    </xf>
    <xf numFmtId="3" fontId="12" fillId="0" borderId="1" xfId="95" applyNumberFormat="1" applyFont="1" applyFill="1" applyBorder="1">
      <alignment horizontal="right" vertical="center"/>
    </xf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0" fontId="13" fillId="3" borderId="1" xfId="78" applyFont="1" applyFill="1" applyBorder="1" applyAlignment="1">
      <alignment horizontal="center" vertical="center"/>
    </xf>
    <xf numFmtId="0" fontId="13" fillId="3" borderId="1" xfId="78" applyFont="1" applyFill="1" applyBorder="1" applyAlignment="1">
      <alignment horizontal="left" vertical="center" indent="1"/>
    </xf>
    <xf numFmtId="4" fontId="13" fillId="3" borderId="1" xfId="95" applyNumberFormat="1" applyFont="1" applyFill="1" applyBorder="1">
      <alignment horizontal="right" vertical="center"/>
    </xf>
    <xf numFmtId="3" fontId="13" fillId="3" borderId="1" xfId="95" applyNumberFormat="1" applyFont="1" applyFill="1" applyBorder="1">
      <alignment horizontal="right" vertical="center"/>
    </xf>
    <xf numFmtId="0" fontId="13" fillId="4" borderId="1" xfId="94" applyFont="1" applyFill="1" applyBorder="1" applyAlignment="1">
      <alignment horizontal="center" vertical="center"/>
    </xf>
    <xf numFmtId="0" fontId="13" fillId="4" borderId="1" xfId="94" applyFont="1" applyFill="1" applyBorder="1">
      <alignment horizontal="left" vertical="center" indent="1"/>
    </xf>
    <xf numFmtId="4" fontId="13" fillId="4" borderId="1" xfId="95" applyNumberFormat="1" applyFont="1" applyFill="1" applyBorder="1">
      <alignment horizontal="right" vertical="center"/>
    </xf>
    <xf numFmtId="3" fontId="13" fillId="4" borderId="1" xfId="95" applyNumberFormat="1" applyFont="1" applyFill="1" applyBorder="1">
      <alignment horizontal="right" vertical="center"/>
    </xf>
    <xf numFmtId="0" fontId="13" fillId="5" borderId="1" xfId="94" applyFont="1" applyFill="1" applyBorder="1" applyAlignment="1">
      <alignment horizontal="center" vertical="center"/>
    </xf>
    <xf numFmtId="0" fontId="13" fillId="5" borderId="1" xfId="94" applyFont="1" applyFill="1" applyBorder="1">
      <alignment horizontal="left" vertical="center" indent="1"/>
    </xf>
    <xf numFmtId="4" fontId="13" fillId="5" borderId="1" xfId="95" applyNumberFormat="1" applyFont="1" applyFill="1" applyBorder="1">
      <alignment horizontal="right" vertical="center"/>
    </xf>
    <xf numFmtId="3" fontId="13" fillId="5" borderId="1" xfId="95" applyNumberFormat="1" applyFont="1" applyFill="1" applyBorder="1">
      <alignment horizontal="right" vertical="center"/>
    </xf>
    <xf numFmtId="49" fontId="12" fillId="0" borderId="1" xfId="94" applyNumberFormat="1" applyFont="1" applyFill="1" applyBorder="1" applyAlignment="1">
      <alignment horizontal="right" vertical="center"/>
    </xf>
    <xf numFmtId="3" fontId="14" fillId="6" borderId="2" xfId="96" applyNumberFormat="1" applyFill="1">
      <alignment vertical="center"/>
    </xf>
    <xf numFmtId="3" fontId="14" fillId="6" borderId="2" xfId="95" applyNumberFormat="1" applyFill="1">
      <alignment horizontal="right" vertical="center"/>
    </xf>
    <xf numFmtId="0" fontId="14" fillId="6" borderId="2" xfId="94" applyFill="1">
      <alignment horizontal="left" vertical="center" indent="1"/>
    </xf>
    <xf numFmtId="4" fontId="12" fillId="5" borderId="1" xfId="95" applyNumberFormat="1" applyFont="1" applyFill="1" applyBorder="1">
      <alignment horizontal="right" vertical="center"/>
    </xf>
    <xf numFmtId="3" fontId="12" fillId="5" borderId="1" xfId="95" applyNumberFormat="1" applyFont="1" applyFill="1" applyBorder="1">
      <alignment horizontal="right" vertical="center"/>
    </xf>
    <xf numFmtId="3" fontId="14" fillId="0" borderId="2" xfId="96" applyNumberFormat="1" applyFill="1">
      <alignment vertical="center"/>
    </xf>
    <xf numFmtId="0" fontId="12" fillId="0" borderId="0" xfId="94" applyFont="1" applyFill="1" applyBorder="1" applyAlignment="1">
      <alignment horizontal="right" vertical="center"/>
    </xf>
    <xf numFmtId="0" fontId="12" fillId="0" borderId="0" xfId="94" applyFont="1" applyFill="1" applyBorder="1">
      <alignment horizontal="left" vertical="center" indent="1"/>
    </xf>
    <xf numFmtId="3" fontId="12" fillId="0" borderId="0" xfId="95" applyNumberFormat="1" applyFont="1" applyFill="1" applyBorder="1">
      <alignment horizontal="right" vertical="center"/>
    </xf>
    <xf numFmtId="4" fontId="6" fillId="0" borderId="0" xfId="0" applyNumberFormat="1" applyFont="1" applyFill="1" applyAlignment="1"/>
    <xf numFmtId="0" fontId="7" fillId="0" borderId="0" xfId="0" applyFont="1" applyFill="1" applyAlignment="1">
      <alignment horizontal="center" wrapText="1"/>
    </xf>
    <xf numFmtId="4" fontId="1" fillId="0" borderId="0" xfId="0" applyNumberFormat="1" applyFont="1" applyFill="1" applyBorder="1" applyAlignme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4" fontId="15" fillId="0" borderId="0" xfId="0" applyNumberFormat="1" applyFont="1" applyFill="1"/>
    <xf numFmtId="3" fontId="15" fillId="0" borderId="0" xfId="0" applyNumberFormat="1" applyFont="1" applyFill="1"/>
    <xf numFmtId="0" fontId="17" fillId="0" borderId="0" xfId="52" applyFont="1" applyFill="1" applyAlignment="1">
      <alignment horizontal="center" vertical="center" wrapText="1"/>
    </xf>
    <xf numFmtId="0" fontId="18" fillId="0" borderId="0" xfId="52" applyFont="1" applyFill="1" applyAlignment="1">
      <alignment horizontal="center" vertical="center" wrapText="1"/>
    </xf>
    <xf numFmtId="3" fontId="19" fillId="7" borderId="3" xfId="49" applyNumberFormat="1" applyFont="1" applyFill="1" applyBorder="1" applyAlignment="1">
      <alignment horizontal="center" vertical="center" wrapText="1"/>
    </xf>
    <xf numFmtId="4" fontId="19" fillId="7" borderId="4" xfId="58" applyNumberFormat="1" applyFont="1" applyFill="1" applyBorder="1" applyAlignment="1">
      <alignment horizontal="center" vertical="center" wrapText="1"/>
    </xf>
    <xf numFmtId="3" fontId="20" fillId="7" borderId="3" xfId="49" applyNumberFormat="1" applyFont="1" applyFill="1" applyBorder="1" applyAlignment="1">
      <alignment horizontal="center" vertical="center" wrapText="1"/>
    </xf>
    <xf numFmtId="1" fontId="20" fillId="7" borderId="3" xfId="49" applyNumberFormat="1" applyFont="1" applyFill="1" applyBorder="1" applyAlignment="1">
      <alignment horizontal="center" vertical="center"/>
    </xf>
    <xf numFmtId="0" fontId="21" fillId="0" borderId="0" xfId="58" applyNumberFormat="1" applyFont="1" applyFill="1" applyBorder="1">
      <alignment horizontal="left" vertical="center" indent="1"/>
    </xf>
    <xf numFmtId="0" fontId="22" fillId="0" borderId="0" xfId="71" applyFont="1" applyFill="1" applyBorder="1">
      <alignment horizontal="center" vertical="center"/>
    </xf>
    <xf numFmtId="0" fontId="23" fillId="8" borderId="0" xfId="80" applyFont="1" applyFill="1" applyBorder="1" applyAlignment="1">
      <alignment horizontal="left" vertical="center" wrapText="1" indent="5"/>
    </xf>
    <xf numFmtId="0" fontId="23" fillId="8" borderId="0" xfId="80" applyFont="1" applyFill="1" applyBorder="1">
      <alignment horizontal="left" vertical="center" wrapText="1"/>
    </xf>
    <xf numFmtId="4" fontId="24" fillId="8" borderId="0" xfId="88" applyNumberFormat="1" applyFont="1" applyFill="1" applyBorder="1">
      <alignment horizontal="right" vertical="center"/>
    </xf>
    <xf numFmtId="3" fontId="24" fillId="8" borderId="0" xfId="88" applyNumberFormat="1" applyFont="1" applyFill="1" applyBorder="1">
      <alignment horizontal="right" vertical="center"/>
    </xf>
    <xf numFmtId="0" fontId="23" fillId="9" borderId="0" xfId="80" applyFont="1" applyFill="1" applyBorder="1" applyAlignment="1">
      <alignment horizontal="left" vertical="center" wrapText="1" indent="6"/>
    </xf>
    <xf numFmtId="0" fontId="23" fillId="9" borderId="0" xfId="80" applyFont="1" applyFill="1" applyBorder="1">
      <alignment horizontal="left" vertical="center" wrapText="1"/>
    </xf>
    <xf numFmtId="4" fontId="25" fillId="9" borderId="0" xfId="88" applyNumberFormat="1" applyFont="1" applyFill="1" applyBorder="1">
      <alignment horizontal="right" vertical="center"/>
    </xf>
    <xf numFmtId="3" fontId="25" fillId="9" borderId="0" xfId="88" applyNumberFormat="1" applyFont="1" applyFill="1" applyBorder="1">
      <alignment horizontal="right" vertical="center"/>
    </xf>
    <xf numFmtId="0" fontId="23" fillId="0" borderId="0" xfId="80" applyFont="1" applyFill="1" applyBorder="1" applyAlignment="1">
      <alignment horizontal="left" vertical="center" wrapText="1" indent="7"/>
    </xf>
    <xf numFmtId="0" fontId="23" fillId="0" borderId="0" xfId="78" applyFont="1" applyFill="1" applyBorder="1">
      <alignment horizontal="left" vertical="center" wrapText="1"/>
    </xf>
    <xf numFmtId="4" fontId="26" fillId="0" borderId="0" xfId="88" applyNumberFormat="1" applyFont="1" applyFill="1" applyBorder="1">
      <alignment horizontal="right" vertical="center"/>
    </xf>
    <xf numFmtId="3" fontId="26" fillId="0" borderId="0" xfId="88" applyNumberFormat="1" applyFont="1" applyFill="1" applyBorder="1">
      <alignment horizontal="right" vertical="center"/>
    </xf>
    <xf numFmtId="0" fontId="21" fillId="0" borderId="0" xfId="49"/>
    <xf numFmtId="0" fontId="27" fillId="0" borderId="0" xfId="52" applyFont="1" applyFill="1" applyAlignment="1">
      <alignment vertical="center" wrapText="1"/>
    </xf>
    <xf numFmtId="0" fontId="18" fillId="0" borderId="0" xfId="52" applyFont="1" applyFill="1" applyAlignment="1">
      <alignment vertical="center" wrapText="1"/>
    </xf>
    <xf numFmtId="0" fontId="15" fillId="0" borderId="0" xfId="49" applyFont="1" applyFill="1" applyAlignment="1">
      <alignment horizontal="center" vertical="center"/>
    </xf>
    <xf numFmtId="0" fontId="21" fillId="0" borderId="0" xfId="49" applyFill="1"/>
    <xf numFmtId="0" fontId="16" fillId="0" borderId="0" xfId="49" applyFont="1" applyFill="1" applyAlignment="1">
      <alignment horizontal="center" vertical="center"/>
    </xf>
    <xf numFmtId="0" fontId="21" fillId="0" borderId="0" xfId="49" applyFont="1" applyFill="1" applyBorder="1"/>
    <xf numFmtId="0" fontId="23" fillId="0" borderId="0" xfId="49" applyFont="1" applyFill="1" applyBorder="1"/>
    <xf numFmtId="0" fontId="28" fillId="0" borderId="0" xfId="58" applyNumberFormat="1" applyFill="1" applyBorder="1">
      <alignment horizontal="left" vertical="center" indent="1"/>
    </xf>
    <xf numFmtId="0" fontId="29" fillId="0" borderId="0" xfId="71" applyFill="1" applyBorder="1">
      <alignment horizontal="center" vertical="center"/>
    </xf>
    <xf numFmtId="0" fontId="30" fillId="10" borderId="0" xfId="78" applyFont="1" applyFill="1" applyBorder="1" applyAlignment="1">
      <alignment horizontal="left" vertical="center" wrapText="1" indent="4"/>
    </xf>
    <xf numFmtId="0" fontId="30" fillId="10" borderId="0" xfId="78" applyFont="1" applyFill="1" applyBorder="1">
      <alignment horizontal="left" vertical="center" wrapText="1"/>
    </xf>
    <xf numFmtId="4" fontId="31" fillId="10" borderId="0" xfId="88" applyNumberFormat="1" applyFont="1" applyFill="1" applyBorder="1">
      <alignment horizontal="right" vertical="center"/>
    </xf>
    <xf numFmtId="3" fontId="31" fillId="10" borderId="0" xfId="88" applyNumberFormat="1" applyFont="1" applyFill="1" applyBorder="1">
      <alignment horizontal="right" vertical="center"/>
    </xf>
    <xf numFmtId="4" fontId="26" fillId="10" borderId="0" xfId="88" applyNumberFormat="1" applyFont="1" applyFill="1" applyBorder="1">
      <alignment horizontal="right" vertical="center"/>
    </xf>
    <xf numFmtId="3" fontId="24" fillId="0" borderId="0" xfId="88" applyNumberFormat="1" applyFont="1" applyFill="1" applyBorder="1">
      <alignment horizontal="right" vertical="center"/>
    </xf>
    <xf numFmtId="4" fontId="26" fillId="9" borderId="0" xfId="88" applyNumberFormat="1" applyFont="1" applyFill="1" applyBorder="1">
      <alignment horizontal="right" vertical="center"/>
    </xf>
    <xf numFmtId="0" fontId="23" fillId="0" borderId="0" xfId="80" applyFont="1" applyFill="1" applyBorder="1">
      <alignment horizontal="left" vertical="center" wrapText="1"/>
    </xf>
    <xf numFmtId="4" fontId="24" fillId="8" borderId="0" xfId="88" applyNumberFormat="1" applyFont="1" applyFill="1" applyBorder="1" applyAlignment="1">
      <alignment horizontal="right"/>
    </xf>
    <xf numFmtId="0" fontId="26" fillId="0" borderId="0" xfId="88" applyNumberFormat="1" applyFont="1" applyFill="1" applyBorder="1">
      <alignment horizontal="right" vertical="center"/>
    </xf>
    <xf numFmtId="0" fontId="21" fillId="0" borderId="0" xfId="49" applyFill="1" applyBorder="1"/>
    <xf numFmtId="0" fontId="15" fillId="0" borderId="0" xfId="49" applyFont="1" applyFill="1" applyBorder="1"/>
    <xf numFmtId="0" fontId="28" fillId="0" borderId="0" xfId="49" applyFont="1" applyFill="1" applyBorder="1"/>
    <xf numFmtId="0" fontId="30" fillId="0" borderId="0" xfId="49" applyFont="1" applyFill="1" applyBorder="1"/>
    <xf numFmtId="0" fontId="16" fillId="8" borderId="0" xfId="49" applyFont="1" applyFill="1" applyBorder="1" applyAlignment="1">
      <alignment horizontal="center" vertical="center"/>
    </xf>
    <xf numFmtId="3" fontId="30" fillId="8" borderId="0" xfId="49" applyNumberFormat="1" applyFont="1" applyFill="1" applyBorder="1" applyAlignment="1">
      <alignment vertical="top" wrapText="1"/>
    </xf>
    <xf numFmtId="4" fontId="32" fillId="8" borderId="0" xfId="54" applyNumberFormat="1" applyFont="1" applyFill="1" applyBorder="1">
      <alignment vertical="center"/>
    </xf>
    <xf numFmtId="4" fontId="33" fillId="8" borderId="0" xfId="54" applyNumberFormat="1" applyFont="1" applyFill="1" applyBorder="1">
      <alignment vertical="center"/>
    </xf>
    <xf numFmtId="0" fontId="30" fillId="9" borderId="0" xfId="76" applyFont="1" applyFill="1" applyBorder="1" applyAlignment="1">
      <alignment horizontal="left" vertical="center" wrapText="1" indent="3"/>
    </xf>
    <xf numFmtId="0" fontId="30" fillId="9" borderId="0" xfId="76" applyFont="1" applyFill="1" applyBorder="1">
      <alignment horizontal="left" vertical="center" wrapText="1"/>
    </xf>
    <xf numFmtId="4" fontId="31" fillId="9" borderId="0" xfId="88" applyNumberFormat="1" applyFont="1" applyFill="1" applyBorder="1">
      <alignment horizontal="right" vertical="center"/>
    </xf>
    <xf numFmtId="3" fontId="31" fillId="9" borderId="0" xfId="88" applyNumberFormat="1" applyFont="1" applyFill="1" applyBorder="1">
      <alignment horizontal="right" vertical="center"/>
    </xf>
    <xf numFmtId="0" fontId="23" fillId="0" borderId="0" xfId="78" applyFont="1" applyFill="1" applyBorder="1" applyAlignment="1">
      <alignment horizontal="left" vertical="center" wrapText="1" indent="4"/>
    </xf>
    <xf numFmtId="0" fontId="30" fillId="0" borderId="0" xfId="76" applyFont="1" applyFill="1" applyBorder="1" applyAlignment="1">
      <alignment horizontal="left" vertical="center" wrapText="1" indent="3"/>
    </xf>
    <xf numFmtId="0" fontId="30" fillId="0" borderId="0" xfId="76" applyFont="1" applyFill="1" applyBorder="1">
      <alignment horizontal="left" vertical="center" wrapText="1"/>
    </xf>
    <xf numFmtId="4" fontId="31" fillId="0" borderId="0" xfId="88" applyNumberFormat="1" applyFont="1" applyFill="1" applyBorder="1">
      <alignment horizontal="right" vertical="center"/>
    </xf>
    <xf numFmtId="3" fontId="31" fillId="0" borderId="0" xfId="88" applyNumberFormat="1" applyFont="1" applyFill="1" applyBorder="1">
      <alignment horizontal="right" vertical="center"/>
    </xf>
    <xf numFmtId="0" fontId="30" fillId="0" borderId="0" xfId="74" applyFont="1" applyFill="1" applyBorder="1" applyAlignment="1">
      <alignment horizontal="left" vertical="center" wrapText="1" indent="2"/>
    </xf>
    <xf numFmtId="4" fontId="33" fillId="0" borderId="0" xfId="54" applyNumberFormat="1" applyFont="1" applyFill="1" applyBorder="1">
      <alignment vertical="center"/>
    </xf>
    <xf numFmtId="3" fontId="33" fillId="0" borderId="0" xfId="54" applyNumberFormat="1" applyFont="1" applyFill="1" applyBorder="1">
      <alignment vertical="center"/>
    </xf>
    <xf numFmtId="0" fontId="16" fillId="0" borderId="0" xfId="49" applyFont="1" applyFill="1" applyBorder="1" applyAlignment="1">
      <alignment horizontal="center" vertical="center"/>
    </xf>
    <xf numFmtId="0" fontId="34" fillId="0" borderId="0" xfId="49" applyFont="1" applyFill="1" applyBorder="1"/>
    <xf numFmtId="0" fontId="30" fillId="8" borderId="0" xfId="74" applyFont="1" applyFill="1" applyBorder="1" applyAlignment="1">
      <alignment horizontal="left" vertical="center" wrapText="1" indent="2"/>
    </xf>
    <xf numFmtId="3" fontId="33" fillId="8" borderId="0" xfId="54" applyNumberFormat="1" applyFont="1" applyFill="1" applyBorder="1">
      <alignment vertical="center"/>
    </xf>
    <xf numFmtId="4" fontId="23" fillId="0" borderId="0" xfId="49" applyNumberFormat="1" applyFont="1" applyFill="1" applyBorder="1"/>
    <xf numFmtId="4" fontId="28" fillId="0" borderId="0" xfId="49" applyNumberFormat="1" applyFont="1" applyFill="1" applyBorder="1"/>
    <xf numFmtId="4" fontId="17" fillId="0" borderId="0" xfId="52" applyNumberFormat="1" applyFont="1" applyFill="1" applyAlignment="1">
      <alignment horizontal="center" vertical="center" wrapText="1"/>
    </xf>
    <xf numFmtId="0" fontId="16" fillId="10" borderId="0" xfId="49" applyFont="1" applyFill="1" applyBorder="1" applyAlignment="1">
      <alignment horizontal="center" vertical="center"/>
    </xf>
    <xf numFmtId="3" fontId="30" fillId="10" borderId="0" xfId="49" applyNumberFormat="1" applyFont="1" applyFill="1" applyBorder="1" applyAlignment="1">
      <alignment vertical="center" wrapText="1"/>
    </xf>
    <xf numFmtId="4" fontId="32" fillId="10" borderId="0" xfId="54" applyNumberFormat="1" applyFont="1" applyFill="1" applyBorder="1">
      <alignment vertical="center"/>
    </xf>
    <xf numFmtId="0" fontId="30" fillId="8" borderId="0" xfId="76" applyFont="1" applyFill="1" applyBorder="1" applyAlignment="1">
      <alignment horizontal="left" vertical="center" wrapText="1" indent="3"/>
    </xf>
    <xf numFmtId="0" fontId="30" fillId="8" borderId="0" xfId="76" applyFont="1" applyFill="1" applyBorder="1">
      <alignment horizontal="left" vertical="center" wrapText="1"/>
    </xf>
    <xf numFmtId="4" fontId="31" fillId="8" borderId="0" xfId="88" applyNumberFormat="1" applyFont="1" applyFill="1" applyBorder="1">
      <alignment horizontal="right" vertical="center"/>
    </xf>
    <xf numFmtId="3" fontId="31" fillId="8" borderId="0" xfId="88" applyNumberFormat="1" applyFont="1" applyFill="1" applyBorder="1">
      <alignment horizontal="right" vertical="center"/>
    </xf>
    <xf numFmtId="0" fontId="23" fillId="9" borderId="0" xfId="78" applyFont="1" applyFill="1" applyBorder="1" applyAlignment="1">
      <alignment horizontal="left" vertical="center" wrapText="1" indent="4"/>
    </xf>
    <xf numFmtId="0" fontId="23" fillId="9" borderId="0" xfId="78" applyFont="1" applyFill="1" applyBorder="1">
      <alignment horizontal="left" vertical="center" wrapText="1"/>
    </xf>
    <xf numFmtId="0" fontId="23" fillId="9" borderId="0" xfId="80" applyFont="1" applyFill="1" applyBorder="1" applyAlignment="1">
      <alignment horizontal="left" vertical="center" wrapText="1" indent="5"/>
    </xf>
    <xf numFmtId="3" fontId="26" fillId="9" borderId="0" xfId="88" applyNumberFormat="1" applyFont="1" applyFill="1" applyBorder="1">
      <alignment horizontal="right" vertical="center"/>
    </xf>
    <xf numFmtId="0" fontId="23" fillId="0" borderId="0" xfId="80" applyFont="1" applyFill="1" applyBorder="1" applyAlignment="1">
      <alignment horizontal="left" vertical="center" wrapText="1" indent="8"/>
    </xf>
    <xf numFmtId="0" fontId="26" fillId="9" borderId="0" xfId="88" applyNumberFormat="1" applyFont="1" applyFill="1" applyBorder="1">
      <alignment horizontal="right" vertical="center"/>
    </xf>
    <xf numFmtId="4" fontId="18" fillId="0" borderId="0" xfId="52" applyNumberFormat="1" applyFont="1" applyFill="1" applyAlignment="1">
      <alignment vertical="center" wrapText="1"/>
    </xf>
    <xf numFmtId="4" fontId="27" fillId="0" borderId="0" xfId="52" applyNumberFormat="1" applyFont="1" applyFill="1" applyAlignment="1">
      <alignment vertical="center" wrapText="1"/>
    </xf>
    <xf numFmtId="4" fontId="15" fillId="0" borderId="0" xfId="49" applyNumberFormat="1" applyFont="1" applyFill="1" applyAlignment="1">
      <alignment horizontal="center" vertical="center"/>
    </xf>
    <xf numFmtId="4" fontId="21" fillId="0" borderId="0" xfId="49" applyNumberFormat="1" applyFill="1"/>
    <xf numFmtId="4" fontId="21" fillId="0" borderId="0" xfId="49" applyNumberFormat="1" applyFill="1" applyBorder="1"/>
    <xf numFmtId="4" fontId="30" fillId="0" borderId="0" xfId="49" applyNumberFormat="1" applyFont="1" applyFill="1" applyBorder="1"/>
    <xf numFmtId="4" fontId="21" fillId="0" borderId="0" xfId="49" applyNumberFormat="1" applyFont="1" applyFill="1" applyBorder="1"/>
    <xf numFmtId="4" fontId="32" fillId="0" borderId="0" xfId="54" applyNumberFormat="1" applyFont="1" applyFill="1" applyBorder="1">
      <alignment vertical="center"/>
    </xf>
    <xf numFmtId="3" fontId="30" fillId="10" borderId="0" xfId="49" applyNumberFormat="1" applyFont="1" applyFill="1" applyBorder="1" applyAlignment="1">
      <alignment vertical="top" wrapText="1"/>
    </xf>
    <xf numFmtId="3" fontId="32" fillId="10" borderId="0" xfId="54" applyNumberFormat="1" applyFont="1" applyFill="1" applyBorder="1">
      <alignment vertical="center"/>
    </xf>
    <xf numFmtId="0" fontId="23" fillId="0" borderId="0" xfId="80" applyFont="1" applyFill="1" applyBorder="1" applyAlignment="1">
      <alignment horizontal="left" vertical="center" wrapText="1" indent="6"/>
    </xf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0" fontId="35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center" vertical="center" wrapText="1"/>
    </xf>
    <xf numFmtId="0" fontId="17" fillId="0" borderId="0" xfId="51" applyFont="1" applyAlignment="1">
      <alignment horizontal="center" vertical="center" wrapText="1"/>
    </xf>
    <xf numFmtId="4" fontId="17" fillId="0" borderId="0" xfId="51" applyNumberFormat="1" applyFont="1" applyAlignment="1">
      <alignment horizontal="center" vertical="center" wrapText="1"/>
    </xf>
    <xf numFmtId="3" fontId="17" fillId="0" borderId="0" xfId="51" applyNumberFormat="1" applyFont="1" applyAlignment="1">
      <alignment horizontal="center" vertical="center" wrapText="1"/>
    </xf>
    <xf numFmtId="4" fontId="18" fillId="0" borderId="0" xfId="51" applyNumberFormat="1" applyFont="1" applyAlignment="1">
      <alignment horizontal="center" vertical="center" wrapText="1"/>
    </xf>
    <xf numFmtId="3" fontId="18" fillId="0" borderId="0" xfId="51" applyNumberFormat="1" applyFont="1" applyAlignment="1">
      <alignment horizontal="center" vertical="center" wrapText="1"/>
    </xf>
    <xf numFmtId="0" fontId="28" fillId="0" borderId="0" xfId="51" applyFont="1" applyAlignment="1">
      <alignment horizontal="left" vertical="center" wrapText="1"/>
    </xf>
    <xf numFmtId="4" fontId="36" fillId="0" borderId="5" xfId="51" applyNumberFormat="1" applyFont="1" applyBorder="1" applyAlignment="1">
      <alignment horizontal="center" vertical="center" wrapText="1"/>
    </xf>
    <xf numFmtId="3" fontId="37" fillId="0" borderId="5" xfId="51" applyNumberFormat="1" applyFont="1" applyBorder="1" applyAlignment="1">
      <alignment horizontal="center" vertical="center"/>
    </xf>
    <xf numFmtId="0" fontId="32" fillId="0" borderId="1" xfId="51" applyFont="1" applyBorder="1" applyAlignment="1">
      <alignment horizontal="center" vertical="center" wrapText="1"/>
    </xf>
    <xf numFmtId="4" fontId="32" fillId="0" borderId="1" xfId="51" applyNumberFormat="1" applyFont="1" applyBorder="1" applyAlignment="1">
      <alignment horizontal="center" vertical="center" wrapText="1"/>
    </xf>
    <xf numFmtId="3" fontId="32" fillId="0" borderId="1" xfId="51" applyNumberFormat="1" applyFont="1" applyBorder="1" applyAlignment="1">
      <alignment horizontal="center" vertical="center" wrapText="1"/>
    </xf>
    <xf numFmtId="0" fontId="38" fillId="0" borderId="1" xfId="51" applyFont="1" applyBorder="1" applyAlignment="1">
      <alignment horizontal="center" wrapText="1"/>
    </xf>
    <xf numFmtId="0" fontId="38" fillId="0" borderId="6" xfId="51" applyFont="1" applyBorder="1" applyAlignment="1">
      <alignment horizontal="center" wrapText="1"/>
    </xf>
    <xf numFmtId="3" fontId="38" fillId="6" borderId="1" xfId="51" applyNumberFormat="1" applyFont="1" applyFill="1" applyBorder="1" applyAlignment="1">
      <alignment horizontal="center" vertical="center" wrapText="1"/>
    </xf>
    <xf numFmtId="0" fontId="28" fillId="0" borderId="6" xfId="51" applyFont="1" applyBorder="1" applyAlignment="1">
      <alignment horizontal="left" vertical="center" wrapText="1"/>
    </xf>
    <xf numFmtId="0" fontId="28" fillId="0" borderId="3" xfId="51" applyFont="1" applyBorder="1" applyAlignment="1">
      <alignment vertical="center" wrapText="1"/>
    </xf>
    <xf numFmtId="0" fontId="28" fillId="0" borderId="3" xfId="51" applyFont="1" applyBorder="1" applyAlignment="1">
      <alignment vertical="center"/>
    </xf>
    <xf numFmtId="4" fontId="28" fillId="0" borderId="1" xfId="51" applyNumberFormat="1" applyFont="1" applyFill="1" applyBorder="1" applyAlignment="1">
      <alignment vertical="center" wrapText="1"/>
    </xf>
    <xf numFmtId="3" fontId="28" fillId="0" borderId="1" xfId="51" applyNumberFormat="1" applyFont="1" applyFill="1" applyBorder="1" applyAlignment="1">
      <alignment vertical="center" wrapText="1"/>
    </xf>
    <xf numFmtId="0" fontId="28" fillId="0" borderId="6" xfId="51" applyFont="1" applyBorder="1" applyAlignment="1">
      <alignment horizontal="left" vertical="center"/>
    </xf>
    <xf numFmtId="0" fontId="28" fillId="11" borderId="6" xfId="51" applyFont="1" applyFill="1" applyBorder="1" applyAlignment="1">
      <alignment horizontal="left" vertical="center" wrapText="1"/>
    </xf>
    <xf numFmtId="0" fontId="28" fillId="11" borderId="3" xfId="51" applyFont="1" applyFill="1" applyBorder="1" applyAlignment="1">
      <alignment vertical="center" wrapText="1"/>
    </xf>
    <xf numFmtId="0" fontId="28" fillId="11" borderId="3" xfId="51" applyFont="1" applyFill="1" applyBorder="1" applyAlignment="1">
      <alignment vertical="center"/>
    </xf>
    <xf numFmtId="4" fontId="28" fillId="11" borderId="1" xfId="51" applyNumberFormat="1" applyFont="1" applyFill="1" applyBorder="1" applyAlignment="1">
      <alignment vertical="center"/>
    </xf>
    <xf numFmtId="3" fontId="28" fillId="11" borderId="1" xfId="51" applyNumberFormat="1" applyFont="1" applyFill="1" applyBorder="1" applyAlignment="1">
      <alignment vertical="center"/>
    </xf>
    <xf numFmtId="0" fontId="28" fillId="11" borderId="6" xfId="51" applyFont="1" applyFill="1" applyBorder="1" applyAlignment="1">
      <alignment horizontal="left" vertical="center"/>
    </xf>
    <xf numFmtId="4" fontId="28" fillId="11" borderId="1" xfId="51" applyNumberFormat="1" applyFont="1" applyFill="1" applyBorder="1" applyAlignment="1">
      <alignment vertical="center" wrapText="1"/>
    </xf>
    <xf numFmtId="3" fontId="28" fillId="11" borderId="1" xfId="51" applyNumberFormat="1" applyFont="1" applyFill="1" applyBorder="1" applyAlignment="1">
      <alignment vertical="center" wrapText="1"/>
    </xf>
    <xf numFmtId="0" fontId="39" fillId="0" borderId="0" xfId="51" applyFont="1" applyAlignment="1">
      <alignment horizontal="center" vertical="center" wrapText="1"/>
    </xf>
    <xf numFmtId="4" fontId="39" fillId="0" borderId="0" xfId="51" applyNumberFormat="1" applyFont="1" applyAlignment="1">
      <alignment horizontal="center" vertical="center" wrapText="1"/>
    </xf>
    <xf numFmtId="3" fontId="39" fillId="0" borderId="0" xfId="51" applyNumberFormat="1" applyFont="1" applyAlignment="1">
      <alignment horizontal="center" vertical="center" wrapText="1"/>
    </xf>
    <xf numFmtId="0" fontId="38" fillId="0" borderId="6" xfId="51" applyFont="1" applyBorder="1" applyAlignment="1">
      <alignment horizontal="center" vertical="center" wrapText="1"/>
    </xf>
    <xf numFmtId="0" fontId="38" fillId="0" borderId="3" xfId="51" applyFont="1" applyBorder="1" applyAlignment="1">
      <alignment horizontal="center" vertical="center" wrapText="1"/>
    </xf>
    <xf numFmtId="0" fontId="28" fillId="0" borderId="3" xfId="51" applyFont="1" applyBorder="1" applyAlignment="1">
      <alignment horizontal="left" vertical="center" wrapText="1"/>
    </xf>
    <xf numFmtId="0" fontId="21" fillId="0" borderId="3" xfId="51" applyFont="1" applyBorder="1" applyAlignment="1">
      <alignment vertical="center" wrapText="1"/>
    </xf>
    <xf numFmtId="0" fontId="32" fillId="11" borderId="6" xfId="51" applyFont="1" applyFill="1" applyBorder="1" applyAlignment="1">
      <alignment horizontal="left" wrapText="1"/>
    </xf>
    <xf numFmtId="0" fontId="32" fillId="11" borderId="3" xfId="51" applyFont="1" applyFill="1" applyBorder="1" applyAlignment="1">
      <alignment horizontal="left" wrapText="1"/>
    </xf>
    <xf numFmtId="0" fontId="32" fillId="11" borderId="7" xfId="51" applyFont="1" applyFill="1" applyBorder="1" applyAlignment="1">
      <alignment horizontal="left" wrapText="1"/>
    </xf>
    <xf numFmtId="4" fontId="28" fillId="12" borderId="1" xfId="51" applyNumberFormat="1" applyFont="1" applyFill="1" applyBorder="1" applyAlignment="1">
      <alignment vertical="center" wrapText="1"/>
    </xf>
    <xf numFmtId="3" fontId="28" fillId="12" borderId="1" xfId="51" applyNumberFormat="1" applyFont="1" applyFill="1" applyBorder="1" applyAlignment="1">
      <alignment vertical="center" wrapText="1"/>
    </xf>
    <xf numFmtId="0" fontId="32" fillId="11" borderId="1" xfId="51" applyFont="1" applyFill="1" applyBorder="1" applyAlignment="1">
      <alignment horizontal="left" vertical="center" wrapText="1"/>
    </xf>
    <xf numFmtId="0" fontId="28" fillId="0" borderId="0" xfId="51" applyFont="1" applyAlignment="1">
      <alignment horizontal="left" vertical="top" wrapText="1"/>
    </xf>
    <xf numFmtId="0" fontId="37" fillId="0" borderId="0" xfId="51" applyFont="1" applyAlignment="1">
      <alignment horizontal="left" vertical="top" wrapText="1"/>
    </xf>
    <xf numFmtId="4" fontId="17" fillId="0" borderId="5" xfId="51" applyNumberFormat="1" applyFont="1" applyBorder="1" applyAlignment="1">
      <alignment horizontal="center" vertical="center" wrapText="1"/>
    </xf>
    <xf numFmtId="4" fontId="40" fillId="0" borderId="5" xfId="51" applyNumberFormat="1" applyFont="1" applyBorder="1" applyAlignment="1">
      <alignment horizontal="right" vertical="center"/>
    </xf>
    <xf numFmtId="4" fontId="38" fillId="6" borderId="1" xfId="51" applyNumberFormat="1" applyFont="1" applyFill="1" applyBorder="1" applyAlignment="1">
      <alignment horizontal="center" vertical="center" wrapText="1"/>
    </xf>
    <xf numFmtId="4" fontId="28" fillId="0" borderId="1" xfId="51" applyNumberFormat="1" applyFont="1" applyFill="1" applyBorder="1" applyAlignment="1">
      <alignment horizontal="right" vertical="center" wrapText="1"/>
    </xf>
    <xf numFmtId="4" fontId="27" fillId="0" borderId="0" xfId="51" applyNumberFormat="1" applyFont="1"/>
    <xf numFmtId="4" fontId="32" fillId="6" borderId="1" xfId="51" applyNumberFormat="1" applyFont="1" applyFill="1" applyBorder="1" applyAlignment="1">
      <alignment horizontal="center" vertical="center" wrapText="1"/>
    </xf>
    <xf numFmtId="0" fontId="32" fillId="0" borderId="1" xfId="51" applyFont="1" applyBorder="1" applyAlignment="1" quotePrefix="1">
      <alignment horizontal="center" vertical="center" wrapText="1"/>
    </xf>
    <xf numFmtId="4" fontId="32" fillId="0" borderId="1" xfId="51" applyNumberFormat="1" applyFont="1" applyBorder="1" applyAlignment="1" quotePrefix="1">
      <alignment horizontal="center" vertical="center" wrapText="1"/>
    </xf>
    <xf numFmtId="3" fontId="32" fillId="0" borderId="1" xfId="51" applyNumberFormat="1" applyFont="1" applyBorder="1" applyAlignment="1" quotePrefix="1">
      <alignment horizontal="center" vertical="center" wrapText="1"/>
    </xf>
    <xf numFmtId="0" fontId="28" fillId="0" borderId="6" xfId="51" applyFont="1" applyBorder="1" applyAlignment="1" quotePrefix="1">
      <alignment horizontal="left" vertical="center"/>
    </xf>
    <xf numFmtId="0" fontId="28" fillId="0" borderId="6" xfId="51" applyFont="1" applyBorder="1" applyAlignment="1" quotePrefix="1">
      <alignment horizontal="left" vertical="center" wrapText="1"/>
    </xf>
    <xf numFmtId="0" fontId="28" fillId="11" borderId="6" xfId="51" applyFont="1" applyFill="1" applyBorder="1" applyAlignment="1" quotePrefix="1">
      <alignment horizontal="left" vertical="center" wrapText="1"/>
    </xf>
    <xf numFmtId="0" fontId="32" fillId="11" borderId="6" xfId="51" applyFont="1" applyFill="1" applyBorder="1" applyAlignment="1" quotePrefix="1">
      <alignment horizontal="left" wrapText="1"/>
    </xf>
    <xf numFmtId="0" fontId="32" fillId="11" borderId="1" xfId="51" applyFont="1" applyFill="1" applyBorder="1" applyAlignment="1" quotePrefix="1">
      <alignment horizontal="left" vertical="center" wrapText="1"/>
    </xf>
    <xf numFmtId="0" fontId="28" fillId="0" borderId="0" xfId="58" applyNumberFormat="1" applyFill="1" applyBorder="1" quotePrefix="1">
      <alignment horizontal="left" vertical="center" indent="1"/>
    </xf>
    <xf numFmtId="0" fontId="29" fillId="0" borderId="0" xfId="71" applyFill="1" applyBorder="1" quotePrefix="1">
      <alignment horizontal="center" vertical="center"/>
    </xf>
    <xf numFmtId="0" fontId="30" fillId="8" borderId="0" xfId="76" applyFont="1" applyFill="1" applyBorder="1" applyAlignment="1" quotePrefix="1">
      <alignment horizontal="left" vertical="center" wrapText="1" indent="3"/>
    </xf>
    <xf numFmtId="0" fontId="30" fillId="8" borderId="0" xfId="76" applyFont="1" applyFill="1" applyBorder="1" quotePrefix="1">
      <alignment horizontal="left" vertical="center" wrapText="1"/>
    </xf>
    <xf numFmtId="0" fontId="23" fillId="9" borderId="0" xfId="78" applyFont="1" applyFill="1" applyBorder="1" applyAlignment="1" quotePrefix="1">
      <alignment horizontal="left" vertical="center" wrapText="1" indent="4"/>
    </xf>
    <xf numFmtId="0" fontId="23" fillId="9" borderId="0" xfId="78" applyFont="1" applyFill="1" applyBorder="1" quotePrefix="1">
      <alignment horizontal="left" vertical="center" wrapText="1"/>
    </xf>
    <xf numFmtId="0" fontId="23" fillId="9" borderId="0" xfId="80" applyFont="1" applyFill="1" applyBorder="1" applyAlignment="1" quotePrefix="1">
      <alignment horizontal="left" vertical="center" wrapText="1" indent="5"/>
    </xf>
    <xf numFmtId="0" fontId="23" fillId="9" borderId="0" xfId="80" applyFont="1" applyFill="1" applyBorder="1" quotePrefix="1">
      <alignment horizontal="left" vertical="center" wrapText="1"/>
    </xf>
    <xf numFmtId="0" fontId="23" fillId="0" borderId="0" xfId="80" applyFont="1" applyFill="1" applyBorder="1" applyAlignment="1" quotePrefix="1">
      <alignment horizontal="left" vertical="center" wrapText="1" indent="6"/>
    </xf>
    <xf numFmtId="0" fontId="23" fillId="0" borderId="0" xfId="80" applyFont="1" applyFill="1" applyBorder="1" quotePrefix="1">
      <alignment horizontal="left" vertical="center" wrapText="1"/>
    </xf>
    <xf numFmtId="0" fontId="23" fillId="0" borderId="0" xfId="80" applyFont="1" applyFill="1" applyBorder="1" applyAlignment="1" quotePrefix="1">
      <alignment horizontal="left" vertical="center" wrapText="1" indent="8"/>
    </xf>
    <xf numFmtId="0" fontId="30" fillId="8" borderId="0" xfId="74" applyFont="1" applyFill="1" applyBorder="1" applyAlignment="1" quotePrefix="1">
      <alignment horizontal="left" vertical="center" wrapText="1" indent="2"/>
    </xf>
    <xf numFmtId="0" fontId="30" fillId="9" borderId="0" xfId="76" applyFont="1" applyFill="1" applyBorder="1" applyAlignment="1" quotePrefix="1">
      <alignment horizontal="left" vertical="center" wrapText="1" indent="3"/>
    </xf>
    <xf numFmtId="0" fontId="30" fillId="9" borderId="0" xfId="76" applyFont="1" applyFill="1" applyBorder="1" quotePrefix="1">
      <alignment horizontal="left" vertical="center" wrapText="1"/>
    </xf>
    <xf numFmtId="0" fontId="23" fillId="0" borderId="0" xfId="78" applyFont="1" applyFill="1" applyBorder="1" applyAlignment="1" quotePrefix="1">
      <alignment horizontal="left" vertical="center" wrapText="1" indent="4"/>
    </xf>
    <xf numFmtId="0" fontId="23" fillId="0" borderId="0" xfId="78" applyFont="1" applyFill="1" applyBorder="1" quotePrefix="1">
      <alignment horizontal="left" vertical="center" wrapText="1"/>
    </xf>
    <xf numFmtId="0" fontId="30" fillId="10" borderId="0" xfId="78" applyFont="1" applyFill="1" applyBorder="1" applyAlignment="1" quotePrefix="1">
      <alignment horizontal="left" vertical="center" wrapText="1" indent="4"/>
    </xf>
    <xf numFmtId="0" fontId="30" fillId="10" borderId="0" xfId="78" applyFont="1" applyFill="1" applyBorder="1" quotePrefix="1">
      <alignment horizontal="left" vertical="center" wrapText="1"/>
    </xf>
    <xf numFmtId="0" fontId="23" fillId="8" borderId="0" xfId="80" applyFont="1" applyFill="1" applyBorder="1" applyAlignment="1" quotePrefix="1">
      <alignment horizontal="left" vertical="center" wrapText="1" indent="5"/>
    </xf>
    <xf numFmtId="0" fontId="23" fillId="8" borderId="0" xfId="80" applyFont="1" applyFill="1" applyBorder="1" quotePrefix="1">
      <alignment horizontal="left" vertical="center" wrapText="1"/>
    </xf>
    <xf numFmtId="0" fontId="23" fillId="9" borderId="0" xfId="80" applyFont="1" applyFill="1" applyBorder="1" applyAlignment="1" quotePrefix="1">
      <alignment horizontal="left" vertical="center" wrapText="1" indent="6"/>
    </xf>
    <xf numFmtId="0" fontId="23" fillId="0" borderId="0" xfId="80" applyFont="1" applyFill="1" applyBorder="1" applyAlignment="1" quotePrefix="1">
      <alignment horizontal="left" vertical="center" wrapText="1" indent="7"/>
    </xf>
    <xf numFmtId="0" fontId="21" fillId="0" borderId="0" xfId="58" applyNumberFormat="1" applyFont="1" applyFill="1" applyBorder="1" quotePrefix="1">
      <alignment horizontal="left" vertical="center" indent="1"/>
    </xf>
    <xf numFmtId="0" fontId="22" fillId="0" borderId="0" xfId="71" applyFont="1" applyFill="1" applyBorder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  <xf numFmtId="0" fontId="12" fillId="0" borderId="1" xfId="94" applyFont="1" applyFill="1" applyBorder="1" quotePrefix="1">
      <alignment horizontal="left" vertical="center" indent="1"/>
    </xf>
    <xf numFmtId="0" fontId="13" fillId="3" borderId="1" xfId="78" applyFont="1" applyFill="1" applyBorder="1" applyAlignment="1" quotePrefix="1">
      <alignment horizontal="center" vertical="center"/>
    </xf>
    <xf numFmtId="0" fontId="13" fillId="3" borderId="1" xfId="78" applyFont="1" applyFill="1" applyBorder="1" applyAlignment="1" quotePrefix="1">
      <alignment horizontal="left" vertical="center" indent="1"/>
    </xf>
    <xf numFmtId="0" fontId="13" fillId="4" borderId="1" xfId="94" applyFont="1" applyFill="1" applyBorder="1" applyAlignment="1" quotePrefix="1">
      <alignment horizontal="center" vertical="center"/>
    </xf>
    <xf numFmtId="0" fontId="13" fillId="4" borderId="1" xfId="94" applyFont="1" applyFill="1" applyBorder="1" quotePrefix="1">
      <alignment horizontal="left" vertical="center" indent="1"/>
    </xf>
    <xf numFmtId="0" fontId="13" fillId="5" borderId="1" xfId="94" applyFont="1" applyFill="1" applyBorder="1" applyAlignment="1" quotePrefix="1">
      <alignment horizontal="center" vertical="center"/>
    </xf>
    <xf numFmtId="0" fontId="13" fillId="5" borderId="1" xfId="94" applyFont="1" applyFill="1" applyBorder="1" quotePrefix="1">
      <alignment horizontal="left" vertical="center" indent="1"/>
    </xf>
    <xf numFmtId="49" fontId="12" fillId="0" borderId="1" xfId="94" applyNumberFormat="1" applyFont="1" applyFill="1" applyBorder="1" applyAlignment="1" quotePrefix="1">
      <alignment horizontal="right" vertical="center"/>
    </xf>
    <xf numFmtId="0" fontId="12" fillId="0" borderId="1" xfId="94" applyFont="1" applyFill="1" applyBorder="1" applyAlignment="1" quotePrefix="1">
      <alignment horizontal="right" vertical="center"/>
    </xf>
    <xf numFmtId="0" fontId="14" fillId="6" borderId="2" xfId="94" applyFill="1" quotePrefix="1">
      <alignment horizontal="left" vertical="center" indent="1"/>
    </xf>
  </cellXfs>
  <cellStyles count="9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no 2" xfId="50"/>
    <cellStyle name="Normalno 3" xfId="51"/>
    <cellStyle name="Normalno 3 2" xfId="52"/>
    <cellStyle name="Obično_List4" xfId="53"/>
    <cellStyle name="SAPBEXaggData" xfId="54"/>
    <cellStyle name="SAPBEXaggDataEmph" xfId="55"/>
    <cellStyle name="SAPBEXaggItem" xfId="56"/>
    <cellStyle name="SAPBEXaggItemX" xfId="57"/>
    <cellStyle name="SAPBEXchaText" xfId="58"/>
    <cellStyle name="SAPBEXexcBad7" xfId="59"/>
    <cellStyle name="SAPBEXexcBad8" xfId="60"/>
    <cellStyle name="SAPBEXexcBad9" xfId="61"/>
    <cellStyle name="SAPBEXexcCritical4" xfId="62"/>
    <cellStyle name="SAPBEXexcCritical5" xfId="63"/>
    <cellStyle name="SAPBEXexcCritical6" xfId="64"/>
    <cellStyle name="SAPBEXexcGood1" xfId="65"/>
    <cellStyle name="SAPBEXexcGood2" xfId="66"/>
    <cellStyle name="SAPBEXexcGood3" xfId="67"/>
    <cellStyle name="SAPBEXfilterDrill" xfId="68"/>
    <cellStyle name="SAPBEXfilterItem" xfId="69"/>
    <cellStyle name="SAPBEXfilterText" xfId="70"/>
    <cellStyle name="SAPBEXformats" xfId="71"/>
    <cellStyle name="SAPBEXheaderItem" xfId="72"/>
    <cellStyle name="SAPBEXheaderText" xfId="73"/>
    <cellStyle name="SAPBEXHLevel0" xfId="74"/>
    <cellStyle name="SAPBEXHLevel0X" xfId="75"/>
    <cellStyle name="SAPBEXHLevel1" xfId="76"/>
    <cellStyle name="SAPBEXHLevel1X" xfId="77"/>
    <cellStyle name="SAPBEXHLevel2" xfId="78"/>
    <cellStyle name="SAPBEXHLevel2X" xfId="79"/>
    <cellStyle name="SAPBEXHLevel3" xfId="80"/>
    <cellStyle name="SAPBEXHLevel3X" xfId="81"/>
    <cellStyle name="SAPBEXinputData" xfId="82"/>
    <cellStyle name="SAPBEXinputData 2" xfId="83"/>
    <cellStyle name="SAPBEXresData" xfId="84"/>
    <cellStyle name="SAPBEXresDataEmph" xfId="85"/>
    <cellStyle name="SAPBEXresItem" xfId="86"/>
    <cellStyle name="SAPBEXresItemX" xfId="87"/>
    <cellStyle name="SAPBEXstdData" xfId="88"/>
    <cellStyle name="SAPBEXstdDataEmph" xfId="89"/>
    <cellStyle name="SAPBEXstdItem" xfId="90"/>
    <cellStyle name="SAPBEXstdItemX" xfId="91"/>
    <cellStyle name="SAPBEXtitle" xfId="92"/>
    <cellStyle name="SAPBEXundefined" xfId="93"/>
    <cellStyle name="SAPBEXHLevel3 2" xfId="94"/>
    <cellStyle name="SAPBEXstdData 2" xfId="95"/>
    <cellStyle name="SAPBEXaggData 2" xfId="96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3"/>
  <sheetViews>
    <sheetView tabSelected="1" zoomScale="90" zoomScaleNormal="90" workbookViewId="0">
      <selection activeCell="K6" sqref="K6"/>
    </sheetView>
  </sheetViews>
  <sheetFormatPr defaultColWidth="9" defaultRowHeight="15"/>
  <cols>
    <col min="1" max="4" width="9.14285714285714" style="151"/>
    <col min="5" max="5" width="10.1428571428571" style="151" customWidth="1"/>
    <col min="6" max="6" width="23.5714285714286" style="152" customWidth="1"/>
    <col min="7" max="8" width="23.5714285714286" style="153" customWidth="1"/>
    <col min="9" max="9" width="23.5714285714286" style="152" customWidth="1"/>
    <col min="10" max="11" width="10.5714285714286" style="152" customWidth="1"/>
    <col min="12" max="14" width="9.14285714285714" style="151"/>
    <col min="15" max="15" width="11.7142857142857" style="151"/>
    <col min="16" max="260" width="9.14285714285714" style="151"/>
    <col min="261" max="261" width="17.4285714285714" style="151" customWidth="1"/>
    <col min="262" max="265" width="25.1428571428571" style="151" customWidth="1"/>
    <col min="266" max="267" width="12.2857142857143" style="151" customWidth="1"/>
    <col min="268" max="516" width="9.14285714285714" style="151"/>
    <col min="517" max="517" width="17.4285714285714" style="151" customWidth="1"/>
    <col min="518" max="521" width="25.1428571428571" style="151" customWidth="1"/>
    <col min="522" max="523" width="12.2857142857143" style="151" customWidth="1"/>
    <col min="524" max="772" width="9.14285714285714" style="151"/>
    <col min="773" max="773" width="17.4285714285714" style="151" customWidth="1"/>
    <col min="774" max="777" width="25.1428571428571" style="151" customWidth="1"/>
    <col min="778" max="779" width="12.2857142857143" style="151" customWidth="1"/>
    <col min="780" max="1028" width="9.14285714285714" style="151"/>
    <col min="1029" max="1029" width="17.4285714285714" style="151" customWidth="1"/>
    <col min="1030" max="1033" width="25.1428571428571" style="151" customWidth="1"/>
    <col min="1034" max="1035" width="12.2857142857143" style="151" customWidth="1"/>
    <col min="1036" max="1284" width="9.14285714285714" style="151"/>
    <col min="1285" max="1285" width="17.4285714285714" style="151" customWidth="1"/>
    <col min="1286" max="1289" width="25.1428571428571" style="151" customWidth="1"/>
    <col min="1290" max="1291" width="12.2857142857143" style="151" customWidth="1"/>
    <col min="1292" max="1540" width="9.14285714285714" style="151"/>
    <col min="1541" max="1541" width="17.4285714285714" style="151" customWidth="1"/>
    <col min="1542" max="1545" width="25.1428571428571" style="151" customWidth="1"/>
    <col min="1546" max="1547" width="12.2857142857143" style="151" customWidth="1"/>
    <col min="1548" max="1796" width="9.14285714285714" style="151"/>
    <col min="1797" max="1797" width="17.4285714285714" style="151" customWidth="1"/>
    <col min="1798" max="1801" width="25.1428571428571" style="151" customWidth="1"/>
    <col min="1802" max="1803" width="12.2857142857143" style="151" customWidth="1"/>
    <col min="1804" max="2052" width="9.14285714285714" style="151"/>
    <col min="2053" max="2053" width="17.4285714285714" style="151" customWidth="1"/>
    <col min="2054" max="2057" width="25.1428571428571" style="151" customWidth="1"/>
    <col min="2058" max="2059" width="12.2857142857143" style="151" customWidth="1"/>
    <col min="2060" max="2308" width="9.14285714285714" style="151"/>
    <col min="2309" max="2309" width="17.4285714285714" style="151" customWidth="1"/>
    <col min="2310" max="2313" width="25.1428571428571" style="151" customWidth="1"/>
    <col min="2314" max="2315" width="12.2857142857143" style="151" customWidth="1"/>
    <col min="2316" max="2564" width="9.14285714285714" style="151"/>
    <col min="2565" max="2565" width="17.4285714285714" style="151" customWidth="1"/>
    <col min="2566" max="2569" width="25.1428571428571" style="151" customWidth="1"/>
    <col min="2570" max="2571" width="12.2857142857143" style="151" customWidth="1"/>
    <col min="2572" max="2820" width="9.14285714285714" style="151"/>
    <col min="2821" max="2821" width="17.4285714285714" style="151" customWidth="1"/>
    <col min="2822" max="2825" width="25.1428571428571" style="151" customWidth="1"/>
    <col min="2826" max="2827" width="12.2857142857143" style="151" customWidth="1"/>
    <col min="2828" max="3076" width="9.14285714285714" style="151"/>
    <col min="3077" max="3077" width="17.4285714285714" style="151" customWidth="1"/>
    <col min="3078" max="3081" width="25.1428571428571" style="151" customWidth="1"/>
    <col min="3082" max="3083" width="12.2857142857143" style="151" customWidth="1"/>
    <col min="3084" max="3332" width="9.14285714285714" style="151"/>
    <col min="3333" max="3333" width="17.4285714285714" style="151" customWidth="1"/>
    <col min="3334" max="3337" width="25.1428571428571" style="151" customWidth="1"/>
    <col min="3338" max="3339" width="12.2857142857143" style="151" customWidth="1"/>
    <col min="3340" max="3588" width="9.14285714285714" style="151"/>
    <col min="3589" max="3589" width="17.4285714285714" style="151" customWidth="1"/>
    <col min="3590" max="3593" width="25.1428571428571" style="151" customWidth="1"/>
    <col min="3594" max="3595" width="12.2857142857143" style="151" customWidth="1"/>
    <col min="3596" max="3844" width="9.14285714285714" style="151"/>
    <col min="3845" max="3845" width="17.4285714285714" style="151" customWidth="1"/>
    <col min="3846" max="3849" width="25.1428571428571" style="151" customWidth="1"/>
    <col min="3850" max="3851" width="12.2857142857143" style="151" customWidth="1"/>
    <col min="3852" max="4100" width="9.14285714285714" style="151"/>
    <col min="4101" max="4101" width="17.4285714285714" style="151" customWidth="1"/>
    <col min="4102" max="4105" width="25.1428571428571" style="151" customWidth="1"/>
    <col min="4106" max="4107" width="12.2857142857143" style="151" customWidth="1"/>
    <col min="4108" max="4356" width="9.14285714285714" style="151"/>
    <col min="4357" max="4357" width="17.4285714285714" style="151" customWidth="1"/>
    <col min="4358" max="4361" width="25.1428571428571" style="151" customWidth="1"/>
    <col min="4362" max="4363" width="12.2857142857143" style="151" customWidth="1"/>
    <col min="4364" max="4612" width="9.14285714285714" style="151"/>
    <col min="4613" max="4613" width="17.4285714285714" style="151" customWidth="1"/>
    <col min="4614" max="4617" width="25.1428571428571" style="151" customWidth="1"/>
    <col min="4618" max="4619" width="12.2857142857143" style="151" customWidth="1"/>
    <col min="4620" max="4868" width="9.14285714285714" style="151"/>
    <col min="4869" max="4869" width="17.4285714285714" style="151" customWidth="1"/>
    <col min="4870" max="4873" width="25.1428571428571" style="151" customWidth="1"/>
    <col min="4874" max="4875" width="12.2857142857143" style="151" customWidth="1"/>
    <col min="4876" max="5124" width="9.14285714285714" style="151"/>
    <col min="5125" max="5125" width="17.4285714285714" style="151" customWidth="1"/>
    <col min="5126" max="5129" width="25.1428571428571" style="151" customWidth="1"/>
    <col min="5130" max="5131" width="12.2857142857143" style="151" customWidth="1"/>
    <col min="5132" max="5380" width="9.14285714285714" style="151"/>
    <col min="5381" max="5381" width="17.4285714285714" style="151" customWidth="1"/>
    <col min="5382" max="5385" width="25.1428571428571" style="151" customWidth="1"/>
    <col min="5386" max="5387" width="12.2857142857143" style="151" customWidth="1"/>
    <col min="5388" max="5636" width="9.14285714285714" style="151"/>
    <col min="5637" max="5637" width="17.4285714285714" style="151" customWidth="1"/>
    <col min="5638" max="5641" width="25.1428571428571" style="151" customWidth="1"/>
    <col min="5642" max="5643" width="12.2857142857143" style="151" customWidth="1"/>
    <col min="5644" max="5892" width="9.14285714285714" style="151"/>
    <col min="5893" max="5893" width="17.4285714285714" style="151" customWidth="1"/>
    <col min="5894" max="5897" width="25.1428571428571" style="151" customWidth="1"/>
    <col min="5898" max="5899" width="12.2857142857143" style="151" customWidth="1"/>
    <col min="5900" max="6148" width="9.14285714285714" style="151"/>
    <col min="6149" max="6149" width="17.4285714285714" style="151" customWidth="1"/>
    <col min="6150" max="6153" width="25.1428571428571" style="151" customWidth="1"/>
    <col min="6154" max="6155" width="12.2857142857143" style="151" customWidth="1"/>
    <col min="6156" max="6404" width="9.14285714285714" style="151"/>
    <col min="6405" max="6405" width="17.4285714285714" style="151" customWidth="1"/>
    <col min="6406" max="6409" width="25.1428571428571" style="151" customWidth="1"/>
    <col min="6410" max="6411" width="12.2857142857143" style="151" customWidth="1"/>
    <col min="6412" max="6660" width="9.14285714285714" style="151"/>
    <col min="6661" max="6661" width="17.4285714285714" style="151" customWidth="1"/>
    <col min="6662" max="6665" width="25.1428571428571" style="151" customWidth="1"/>
    <col min="6666" max="6667" width="12.2857142857143" style="151" customWidth="1"/>
    <col min="6668" max="6916" width="9.14285714285714" style="151"/>
    <col min="6917" max="6917" width="17.4285714285714" style="151" customWidth="1"/>
    <col min="6918" max="6921" width="25.1428571428571" style="151" customWidth="1"/>
    <col min="6922" max="6923" width="12.2857142857143" style="151" customWidth="1"/>
    <col min="6924" max="7172" width="9.14285714285714" style="151"/>
    <col min="7173" max="7173" width="17.4285714285714" style="151" customWidth="1"/>
    <col min="7174" max="7177" width="25.1428571428571" style="151" customWidth="1"/>
    <col min="7178" max="7179" width="12.2857142857143" style="151" customWidth="1"/>
    <col min="7180" max="7428" width="9.14285714285714" style="151"/>
    <col min="7429" max="7429" width="17.4285714285714" style="151" customWidth="1"/>
    <col min="7430" max="7433" width="25.1428571428571" style="151" customWidth="1"/>
    <col min="7434" max="7435" width="12.2857142857143" style="151" customWidth="1"/>
    <col min="7436" max="7684" width="9.14285714285714" style="151"/>
    <col min="7685" max="7685" width="17.4285714285714" style="151" customWidth="1"/>
    <col min="7686" max="7689" width="25.1428571428571" style="151" customWidth="1"/>
    <col min="7690" max="7691" width="12.2857142857143" style="151" customWidth="1"/>
    <col min="7692" max="7940" width="9.14285714285714" style="151"/>
    <col min="7941" max="7941" width="17.4285714285714" style="151" customWidth="1"/>
    <col min="7942" max="7945" width="25.1428571428571" style="151" customWidth="1"/>
    <col min="7946" max="7947" width="12.2857142857143" style="151" customWidth="1"/>
    <col min="7948" max="8196" width="9.14285714285714" style="151"/>
    <col min="8197" max="8197" width="17.4285714285714" style="151" customWidth="1"/>
    <col min="8198" max="8201" width="25.1428571428571" style="151" customWidth="1"/>
    <col min="8202" max="8203" width="12.2857142857143" style="151" customWidth="1"/>
    <col min="8204" max="8452" width="9.14285714285714" style="151"/>
    <col min="8453" max="8453" width="17.4285714285714" style="151" customWidth="1"/>
    <col min="8454" max="8457" width="25.1428571428571" style="151" customWidth="1"/>
    <col min="8458" max="8459" width="12.2857142857143" style="151" customWidth="1"/>
    <col min="8460" max="8708" width="9.14285714285714" style="151"/>
    <col min="8709" max="8709" width="17.4285714285714" style="151" customWidth="1"/>
    <col min="8710" max="8713" width="25.1428571428571" style="151" customWidth="1"/>
    <col min="8714" max="8715" width="12.2857142857143" style="151" customWidth="1"/>
    <col min="8716" max="8964" width="9.14285714285714" style="151"/>
    <col min="8965" max="8965" width="17.4285714285714" style="151" customWidth="1"/>
    <col min="8966" max="8969" width="25.1428571428571" style="151" customWidth="1"/>
    <col min="8970" max="8971" width="12.2857142857143" style="151" customWidth="1"/>
    <col min="8972" max="9220" width="9.14285714285714" style="151"/>
    <col min="9221" max="9221" width="17.4285714285714" style="151" customWidth="1"/>
    <col min="9222" max="9225" width="25.1428571428571" style="151" customWidth="1"/>
    <col min="9226" max="9227" width="12.2857142857143" style="151" customWidth="1"/>
    <col min="9228" max="9476" width="9.14285714285714" style="151"/>
    <col min="9477" max="9477" width="17.4285714285714" style="151" customWidth="1"/>
    <col min="9478" max="9481" width="25.1428571428571" style="151" customWidth="1"/>
    <col min="9482" max="9483" width="12.2857142857143" style="151" customWidth="1"/>
    <col min="9484" max="9732" width="9.14285714285714" style="151"/>
    <col min="9733" max="9733" width="17.4285714285714" style="151" customWidth="1"/>
    <col min="9734" max="9737" width="25.1428571428571" style="151" customWidth="1"/>
    <col min="9738" max="9739" width="12.2857142857143" style="151" customWidth="1"/>
    <col min="9740" max="9988" width="9.14285714285714" style="151"/>
    <col min="9989" max="9989" width="17.4285714285714" style="151" customWidth="1"/>
    <col min="9990" max="9993" width="25.1428571428571" style="151" customWidth="1"/>
    <col min="9994" max="9995" width="12.2857142857143" style="151" customWidth="1"/>
    <col min="9996" max="10244" width="9.14285714285714" style="151"/>
    <col min="10245" max="10245" width="17.4285714285714" style="151" customWidth="1"/>
    <col min="10246" max="10249" width="25.1428571428571" style="151" customWidth="1"/>
    <col min="10250" max="10251" width="12.2857142857143" style="151" customWidth="1"/>
    <col min="10252" max="10500" width="9.14285714285714" style="151"/>
    <col min="10501" max="10501" width="17.4285714285714" style="151" customWidth="1"/>
    <col min="10502" max="10505" width="25.1428571428571" style="151" customWidth="1"/>
    <col min="10506" max="10507" width="12.2857142857143" style="151" customWidth="1"/>
    <col min="10508" max="10756" width="9.14285714285714" style="151"/>
    <col min="10757" max="10757" width="17.4285714285714" style="151" customWidth="1"/>
    <col min="10758" max="10761" width="25.1428571428571" style="151" customWidth="1"/>
    <col min="10762" max="10763" width="12.2857142857143" style="151" customWidth="1"/>
    <col min="10764" max="11012" width="9.14285714285714" style="151"/>
    <col min="11013" max="11013" width="17.4285714285714" style="151" customWidth="1"/>
    <col min="11014" max="11017" width="25.1428571428571" style="151" customWidth="1"/>
    <col min="11018" max="11019" width="12.2857142857143" style="151" customWidth="1"/>
    <col min="11020" max="11268" width="9.14285714285714" style="151"/>
    <col min="11269" max="11269" width="17.4285714285714" style="151" customWidth="1"/>
    <col min="11270" max="11273" width="25.1428571428571" style="151" customWidth="1"/>
    <col min="11274" max="11275" width="12.2857142857143" style="151" customWidth="1"/>
    <col min="11276" max="11524" width="9.14285714285714" style="151"/>
    <col min="11525" max="11525" width="17.4285714285714" style="151" customWidth="1"/>
    <col min="11526" max="11529" width="25.1428571428571" style="151" customWidth="1"/>
    <col min="11530" max="11531" width="12.2857142857143" style="151" customWidth="1"/>
    <col min="11532" max="11780" width="9.14285714285714" style="151"/>
    <col min="11781" max="11781" width="17.4285714285714" style="151" customWidth="1"/>
    <col min="11782" max="11785" width="25.1428571428571" style="151" customWidth="1"/>
    <col min="11786" max="11787" width="12.2857142857143" style="151" customWidth="1"/>
    <col min="11788" max="12036" width="9.14285714285714" style="151"/>
    <col min="12037" max="12037" width="17.4285714285714" style="151" customWidth="1"/>
    <col min="12038" max="12041" width="25.1428571428571" style="151" customWidth="1"/>
    <col min="12042" max="12043" width="12.2857142857143" style="151" customWidth="1"/>
    <col min="12044" max="12292" width="9.14285714285714" style="151"/>
    <col min="12293" max="12293" width="17.4285714285714" style="151" customWidth="1"/>
    <col min="12294" max="12297" width="25.1428571428571" style="151" customWidth="1"/>
    <col min="12298" max="12299" width="12.2857142857143" style="151" customWidth="1"/>
    <col min="12300" max="12548" width="9.14285714285714" style="151"/>
    <col min="12549" max="12549" width="17.4285714285714" style="151" customWidth="1"/>
    <col min="12550" max="12553" width="25.1428571428571" style="151" customWidth="1"/>
    <col min="12554" max="12555" width="12.2857142857143" style="151" customWidth="1"/>
    <col min="12556" max="12804" width="9.14285714285714" style="151"/>
    <col min="12805" max="12805" width="17.4285714285714" style="151" customWidth="1"/>
    <col min="12806" max="12809" width="25.1428571428571" style="151" customWidth="1"/>
    <col min="12810" max="12811" width="12.2857142857143" style="151" customWidth="1"/>
    <col min="12812" max="13060" width="9.14285714285714" style="151"/>
    <col min="13061" max="13061" width="17.4285714285714" style="151" customWidth="1"/>
    <col min="13062" max="13065" width="25.1428571428571" style="151" customWidth="1"/>
    <col min="13066" max="13067" width="12.2857142857143" style="151" customWidth="1"/>
    <col min="13068" max="13316" width="9.14285714285714" style="151"/>
    <col min="13317" max="13317" width="17.4285714285714" style="151" customWidth="1"/>
    <col min="13318" max="13321" width="25.1428571428571" style="151" customWidth="1"/>
    <col min="13322" max="13323" width="12.2857142857143" style="151" customWidth="1"/>
    <col min="13324" max="13572" width="9.14285714285714" style="151"/>
    <col min="13573" max="13573" width="17.4285714285714" style="151" customWidth="1"/>
    <col min="13574" max="13577" width="25.1428571428571" style="151" customWidth="1"/>
    <col min="13578" max="13579" width="12.2857142857143" style="151" customWidth="1"/>
    <col min="13580" max="13828" width="9.14285714285714" style="151"/>
    <col min="13829" max="13829" width="17.4285714285714" style="151" customWidth="1"/>
    <col min="13830" max="13833" width="25.1428571428571" style="151" customWidth="1"/>
    <col min="13834" max="13835" width="12.2857142857143" style="151" customWidth="1"/>
    <col min="13836" max="14084" width="9.14285714285714" style="151"/>
    <col min="14085" max="14085" width="17.4285714285714" style="151" customWidth="1"/>
    <col min="14086" max="14089" width="25.1428571428571" style="151" customWidth="1"/>
    <col min="14090" max="14091" width="12.2857142857143" style="151" customWidth="1"/>
    <col min="14092" max="14340" width="9.14285714285714" style="151"/>
    <col min="14341" max="14341" width="17.4285714285714" style="151" customWidth="1"/>
    <col min="14342" max="14345" width="25.1428571428571" style="151" customWidth="1"/>
    <col min="14346" max="14347" width="12.2857142857143" style="151" customWidth="1"/>
    <col min="14348" max="14596" width="9.14285714285714" style="151"/>
    <col min="14597" max="14597" width="17.4285714285714" style="151" customWidth="1"/>
    <col min="14598" max="14601" width="25.1428571428571" style="151" customWidth="1"/>
    <col min="14602" max="14603" width="12.2857142857143" style="151" customWidth="1"/>
    <col min="14604" max="14852" width="9.14285714285714" style="151"/>
    <col min="14853" max="14853" width="17.4285714285714" style="151" customWidth="1"/>
    <col min="14854" max="14857" width="25.1428571428571" style="151" customWidth="1"/>
    <col min="14858" max="14859" width="12.2857142857143" style="151" customWidth="1"/>
    <col min="14860" max="15108" width="9.14285714285714" style="151"/>
    <col min="15109" max="15109" width="17.4285714285714" style="151" customWidth="1"/>
    <col min="15110" max="15113" width="25.1428571428571" style="151" customWidth="1"/>
    <col min="15114" max="15115" width="12.2857142857143" style="151" customWidth="1"/>
    <col min="15116" max="15364" width="9.14285714285714" style="151"/>
    <col min="15365" max="15365" width="17.4285714285714" style="151" customWidth="1"/>
    <col min="15366" max="15369" width="25.1428571428571" style="151" customWidth="1"/>
    <col min="15370" max="15371" width="12.2857142857143" style="151" customWidth="1"/>
    <col min="15372" max="15620" width="9.14285714285714" style="151"/>
    <col min="15621" max="15621" width="17.4285714285714" style="151" customWidth="1"/>
    <col min="15622" max="15625" width="25.1428571428571" style="151" customWidth="1"/>
    <col min="15626" max="15627" width="12.2857142857143" style="151" customWidth="1"/>
    <col min="15628" max="15876" width="9.14285714285714" style="151"/>
    <col min="15877" max="15877" width="17.4285714285714" style="151" customWidth="1"/>
    <col min="15878" max="15881" width="25.1428571428571" style="151" customWidth="1"/>
    <col min="15882" max="15883" width="12.2857142857143" style="151" customWidth="1"/>
    <col min="15884" max="16132" width="9.14285714285714" style="151"/>
    <col min="16133" max="16133" width="17.4285714285714" style="151" customWidth="1"/>
    <col min="16134" max="16137" width="25.1428571428571" style="151" customWidth="1"/>
    <col min="16138" max="16139" width="12.2857142857143" style="151" customWidth="1"/>
    <col min="16140" max="16384" width="9.14285714285714" style="151"/>
  </cols>
  <sheetData>
    <row r="1" ht="15.75" spans="1:11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8" spans="1:11">
      <c r="A2" s="156"/>
      <c r="B2" s="156"/>
      <c r="C2" s="156"/>
      <c r="D2" s="156"/>
      <c r="E2" s="156"/>
      <c r="F2" s="157"/>
      <c r="G2" s="158"/>
      <c r="H2" s="158"/>
      <c r="I2" s="157"/>
      <c r="J2" s="157"/>
      <c r="K2" s="157"/>
    </row>
    <row r="3" ht="15.75" spans="1:11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ht="18" spans="1:11">
      <c r="A4" s="156"/>
      <c r="B4" s="156"/>
      <c r="C4" s="156"/>
      <c r="D4" s="156"/>
      <c r="E4" s="156"/>
      <c r="F4" s="157"/>
      <c r="G4" s="158"/>
      <c r="H4" s="158"/>
      <c r="I4" s="157"/>
      <c r="J4" s="157"/>
      <c r="K4" s="157"/>
    </row>
    <row r="5" ht="15.75" spans="1:1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ht="15.75" spans="1:11">
      <c r="A6" s="155"/>
      <c r="B6" s="155"/>
      <c r="C6" s="155"/>
      <c r="D6" s="155"/>
      <c r="E6" s="155"/>
      <c r="F6" s="159"/>
      <c r="G6" s="160"/>
      <c r="H6" s="160"/>
      <c r="I6" s="159"/>
      <c r="J6" s="159"/>
      <c r="K6" s="159"/>
    </row>
    <row r="7" ht="18" spans="1:11">
      <c r="A7" s="161" t="s">
        <v>3</v>
      </c>
      <c r="B7" s="161"/>
      <c r="C7" s="161"/>
      <c r="D7" s="161"/>
      <c r="E7" s="161"/>
      <c r="F7" s="162"/>
      <c r="G7" s="163"/>
      <c r="H7" s="163"/>
      <c r="I7" s="199"/>
      <c r="J7" s="200"/>
      <c r="K7" s="200"/>
    </row>
    <row r="8" ht="25.5" spans="1:11">
      <c r="A8" s="205" t="s">
        <v>4</v>
      </c>
      <c r="B8" s="164"/>
      <c r="C8" s="164"/>
      <c r="D8" s="164"/>
      <c r="E8" s="164"/>
      <c r="F8" s="206" t="s">
        <v>5</v>
      </c>
      <c r="G8" s="207" t="s">
        <v>6</v>
      </c>
      <c r="H8" s="207" t="s">
        <v>7</v>
      </c>
      <c r="I8" s="206" t="s">
        <v>8</v>
      </c>
      <c r="J8" s="206" t="s">
        <v>9</v>
      </c>
      <c r="K8" s="206" t="s">
        <v>10</v>
      </c>
    </row>
    <row r="9" spans="1:11">
      <c r="A9" s="167">
        <v>1</v>
      </c>
      <c r="B9" s="167"/>
      <c r="C9" s="167"/>
      <c r="D9" s="167"/>
      <c r="E9" s="168"/>
      <c r="F9" s="169">
        <v>2</v>
      </c>
      <c r="G9" s="169">
        <v>3</v>
      </c>
      <c r="H9" s="169">
        <v>4</v>
      </c>
      <c r="I9" s="169">
        <v>5</v>
      </c>
      <c r="J9" s="201" t="s">
        <v>11</v>
      </c>
      <c r="K9" s="201" t="s">
        <v>12</v>
      </c>
    </row>
    <row r="10" spans="1:11">
      <c r="A10" s="170" t="s">
        <v>13</v>
      </c>
      <c r="B10" s="171"/>
      <c r="C10" s="171"/>
      <c r="D10" s="171"/>
      <c r="E10" s="172"/>
      <c r="F10" s="173">
        <f>+'A.1 PRIHODI EK'!C11</f>
        <v>3712240</v>
      </c>
      <c r="G10" s="174">
        <f>+'A.1 PRIHODI EK'!D11</f>
        <v>7207001</v>
      </c>
      <c r="H10" s="174">
        <f>+'A.1 PRIHODI EK'!E11</f>
        <v>7207001</v>
      </c>
      <c r="I10" s="173">
        <f>+'A.1 PRIHODI EK'!F11</f>
        <v>3961191.02</v>
      </c>
      <c r="J10" s="202">
        <f t="shared" ref="J10:J16" si="0">+I10/F10*100</f>
        <v>106.706221041743</v>
      </c>
      <c r="K10" s="202">
        <f t="shared" ref="K10:K16" si="1">+I10/H10*100</f>
        <v>54.9630979654367</v>
      </c>
    </row>
    <row r="11" spans="1:11">
      <c r="A11" s="208" t="s">
        <v>14</v>
      </c>
      <c r="B11" s="172"/>
      <c r="C11" s="172"/>
      <c r="D11" s="172"/>
      <c r="E11" s="172"/>
      <c r="F11" s="173">
        <f>+'A.1 PRIHODI EK'!C70</f>
        <v>7503</v>
      </c>
      <c r="G11" s="174">
        <f>+'A.1 PRIHODI EK'!D70</f>
        <v>350</v>
      </c>
      <c r="H11" s="174">
        <f>+'A.1 PRIHODI EK'!E70</f>
        <v>350</v>
      </c>
      <c r="I11" s="173">
        <f>+'A.1 PRIHODI EK'!F70</f>
        <v>330.5</v>
      </c>
      <c r="J11" s="202">
        <f t="shared" si="0"/>
        <v>4.40490470478475</v>
      </c>
      <c r="K11" s="202">
        <f t="shared" si="1"/>
        <v>94.4285714285714</v>
      </c>
    </row>
    <row r="12" spans="1:11">
      <c r="A12" s="176" t="s">
        <v>15</v>
      </c>
      <c r="B12" s="177"/>
      <c r="C12" s="177"/>
      <c r="D12" s="177"/>
      <c r="E12" s="178"/>
      <c r="F12" s="179">
        <f>F10+F11</f>
        <v>3719743</v>
      </c>
      <c r="G12" s="180">
        <f>G10+G11</f>
        <v>7207351</v>
      </c>
      <c r="H12" s="180">
        <f>H10+H11</f>
        <v>7207351</v>
      </c>
      <c r="I12" s="179">
        <f>I10+I11</f>
        <v>3961521.52</v>
      </c>
      <c r="J12" s="179">
        <f t="shared" si="0"/>
        <v>106.499871630916</v>
      </c>
      <c r="K12" s="179">
        <f t="shared" si="1"/>
        <v>54.9650144692551</v>
      </c>
    </row>
    <row r="13" spans="1:11">
      <c r="A13" s="209" t="s">
        <v>16</v>
      </c>
      <c r="B13" s="171"/>
      <c r="C13" s="171"/>
      <c r="D13" s="171"/>
      <c r="E13" s="171"/>
      <c r="F13" s="173">
        <f>+'A.1 RASHODI EK'!C10</f>
        <v>3747746</v>
      </c>
      <c r="G13" s="174">
        <f>+'A.1 RASHODI EK'!D10</f>
        <v>7145717</v>
      </c>
      <c r="H13" s="174">
        <f>+'A.1 RASHODI EK'!E10</f>
        <v>7145717</v>
      </c>
      <c r="I13" s="173">
        <f>+'A.1 RASHODI EK'!F10</f>
        <v>4136652.17</v>
      </c>
      <c r="J13" s="202">
        <f t="shared" si="0"/>
        <v>110.377068509979</v>
      </c>
      <c r="K13" s="202">
        <f t="shared" si="1"/>
        <v>57.8899524008577</v>
      </c>
    </row>
    <row r="14" spans="1:15">
      <c r="A14" s="208" t="s">
        <v>17</v>
      </c>
      <c r="B14" s="172"/>
      <c r="C14" s="172"/>
      <c r="D14" s="172"/>
      <c r="E14" s="172"/>
      <c r="F14" s="173">
        <f>+'A.1 RASHODI EK'!C113</f>
        <v>101197</v>
      </c>
      <c r="G14" s="174">
        <f>+'A.1 RASHODI EK'!D113</f>
        <v>204153</v>
      </c>
      <c r="H14" s="174">
        <f>+'A.1 RASHODI EK'!E113</f>
        <v>204153</v>
      </c>
      <c r="I14" s="173">
        <f>+'A.1 RASHODI EK'!F113</f>
        <v>36102.73</v>
      </c>
      <c r="J14" s="202">
        <f t="shared" si="0"/>
        <v>35.6756919671532</v>
      </c>
      <c r="K14" s="202">
        <f t="shared" si="1"/>
        <v>17.684153551503</v>
      </c>
      <c r="O14" s="152"/>
    </row>
    <row r="15" spans="1:11">
      <c r="A15" s="181" t="s">
        <v>18</v>
      </c>
      <c r="B15" s="178"/>
      <c r="C15" s="178"/>
      <c r="D15" s="178"/>
      <c r="E15" s="178"/>
      <c r="F15" s="179">
        <f>F13+F14</f>
        <v>3848943</v>
      </c>
      <c r="G15" s="180">
        <f>G13+G14</f>
        <v>7349870</v>
      </c>
      <c r="H15" s="180">
        <f>H13+H14</f>
        <v>7349870</v>
      </c>
      <c r="I15" s="179">
        <f>I13+I14</f>
        <v>4172754.9</v>
      </c>
      <c r="J15" s="179">
        <f t="shared" si="0"/>
        <v>108.413008454529</v>
      </c>
      <c r="K15" s="179">
        <f t="shared" si="1"/>
        <v>56.7731796616811</v>
      </c>
    </row>
    <row r="16" spans="1:11">
      <c r="A16" s="210" t="s">
        <v>19</v>
      </c>
      <c r="B16" s="177"/>
      <c r="C16" s="177"/>
      <c r="D16" s="177"/>
      <c r="E16" s="177"/>
      <c r="F16" s="182">
        <f>F12-F15</f>
        <v>-129200</v>
      </c>
      <c r="G16" s="183">
        <f>G12-G15</f>
        <v>-142519</v>
      </c>
      <c r="H16" s="183">
        <f>H12-H15</f>
        <v>-142519</v>
      </c>
      <c r="I16" s="182">
        <f>I12-I15</f>
        <v>-211233.38</v>
      </c>
      <c r="J16" s="179">
        <f t="shared" si="0"/>
        <v>163.493328173375</v>
      </c>
      <c r="K16" s="179">
        <f t="shared" si="1"/>
        <v>148.214188985329</v>
      </c>
    </row>
    <row r="17" ht="18" spans="1:11">
      <c r="A17" s="156"/>
      <c r="B17" s="184"/>
      <c r="C17" s="184"/>
      <c r="D17" s="184"/>
      <c r="E17" s="184"/>
      <c r="F17" s="185"/>
      <c r="G17" s="186"/>
      <c r="H17" s="186"/>
      <c r="I17" s="185"/>
      <c r="J17" s="203"/>
      <c r="K17" s="203"/>
    </row>
    <row r="18" ht="18" spans="1:11">
      <c r="A18" s="161" t="s">
        <v>20</v>
      </c>
      <c r="B18" s="161"/>
      <c r="C18" s="161"/>
      <c r="D18" s="161"/>
      <c r="E18" s="161"/>
      <c r="F18" s="185"/>
      <c r="G18" s="186"/>
      <c r="H18" s="186"/>
      <c r="I18" s="185"/>
      <c r="J18" s="203"/>
      <c r="K18" s="203"/>
    </row>
    <row r="19" ht="25.5" spans="1:11">
      <c r="A19" s="205" t="s">
        <v>4</v>
      </c>
      <c r="B19" s="164"/>
      <c r="C19" s="164"/>
      <c r="D19" s="164"/>
      <c r="E19" s="164"/>
      <c r="F19" s="206" t="s">
        <v>5</v>
      </c>
      <c r="G19" s="207" t="s">
        <v>6</v>
      </c>
      <c r="H19" s="207" t="s">
        <v>7</v>
      </c>
      <c r="I19" s="206" t="s">
        <v>8</v>
      </c>
      <c r="J19" s="204" t="s">
        <v>9</v>
      </c>
      <c r="K19" s="204" t="s">
        <v>10</v>
      </c>
    </row>
    <row r="20" spans="1:11">
      <c r="A20" s="187">
        <v>1</v>
      </c>
      <c r="B20" s="188"/>
      <c r="C20" s="188"/>
      <c r="D20" s="188"/>
      <c r="E20" s="188"/>
      <c r="F20" s="169">
        <v>2</v>
      </c>
      <c r="G20" s="169">
        <v>3</v>
      </c>
      <c r="H20" s="169">
        <v>4</v>
      </c>
      <c r="I20" s="169">
        <v>5</v>
      </c>
      <c r="J20" s="201" t="s">
        <v>11</v>
      </c>
      <c r="K20" s="201" t="s">
        <v>12</v>
      </c>
    </row>
    <row r="21" spans="1:11">
      <c r="A21" s="170" t="s">
        <v>21</v>
      </c>
      <c r="B21" s="189"/>
      <c r="C21" s="189"/>
      <c r="D21" s="189"/>
      <c r="E21" s="189"/>
      <c r="F21" s="173">
        <f>+'B.1 RAČUN FINANC EK'!C10</f>
        <v>0</v>
      </c>
      <c r="G21" s="174">
        <f>+'B.1 RAČUN FINANC EK'!D10</f>
        <v>0</v>
      </c>
      <c r="H21" s="174">
        <f>+'B.1 RAČUN FINANC EK'!E10</f>
        <v>0</v>
      </c>
      <c r="I21" s="173">
        <f>+'B.1 RAČUN FINANC EK'!F10</f>
        <v>0</v>
      </c>
      <c r="J21" s="202" t="e">
        <f t="shared" ref="J21:J27" si="2">+I21/F21*100</f>
        <v>#DIV/0!</v>
      </c>
      <c r="K21" s="202" t="e">
        <f t="shared" ref="K21:K27" si="3">+I21/H21*100</f>
        <v>#DIV/0!</v>
      </c>
    </row>
    <row r="22" ht="27" customHeight="1" spans="1:11">
      <c r="A22" s="170" t="s">
        <v>22</v>
      </c>
      <c r="B22" s="190"/>
      <c r="C22" s="190"/>
      <c r="D22" s="190"/>
      <c r="E22" s="190"/>
      <c r="F22" s="173">
        <f>+'B.1 RAČUN FINANC EK'!C17</f>
        <v>0</v>
      </c>
      <c r="G22" s="174">
        <f>+'B.1 RAČUN FINANC EK'!D17</f>
        <v>0</v>
      </c>
      <c r="H22" s="174">
        <f>+'B.1 RAČUN FINANC EK'!E17</f>
        <v>0</v>
      </c>
      <c r="I22" s="173">
        <f>+'B.1 RAČUN FINANC EK'!F17</f>
        <v>0</v>
      </c>
      <c r="J22" s="202" t="e">
        <f t="shared" si="2"/>
        <v>#DIV/0!</v>
      </c>
      <c r="K22" s="202" t="e">
        <f t="shared" si="3"/>
        <v>#DIV/0!</v>
      </c>
    </row>
    <row r="23" spans="1:11">
      <c r="A23" s="211" t="s">
        <v>23</v>
      </c>
      <c r="B23" s="192"/>
      <c r="C23" s="192"/>
      <c r="D23" s="192"/>
      <c r="E23" s="193"/>
      <c r="F23" s="179">
        <f>F21-F22</f>
        <v>0</v>
      </c>
      <c r="G23" s="180">
        <f>G21-G22</f>
        <v>0</v>
      </c>
      <c r="H23" s="180">
        <f>H21-H22</f>
        <v>0</v>
      </c>
      <c r="I23" s="179">
        <f>I21-I22</f>
        <v>0</v>
      </c>
      <c r="J23" s="179" t="e">
        <f t="shared" si="2"/>
        <v>#DIV/0!</v>
      </c>
      <c r="K23" s="179" t="e">
        <f t="shared" si="3"/>
        <v>#DIV/0!</v>
      </c>
    </row>
    <row r="24" spans="1:11">
      <c r="A24" s="170" t="s">
        <v>24</v>
      </c>
      <c r="B24" s="190"/>
      <c r="C24" s="190"/>
      <c r="D24" s="190"/>
      <c r="E24" s="190"/>
      <c r="F24" s="194">
        <v>1031667</v>
      </c>
      <c r="G24" s="195">
        <v>998597</v>
      </c>
      <c r="H24" s="195">
        <v>998597</v>
      </c>
      <c r="I24" s="173">
        <f>+F25</f>
        <v>637499.07</v>
      </c>
      <c r="J24" s="202">
        <f t="shared" si="2"/>
        <v>61.793104751824</v>
      </c>
      <c r="K24" s="202">
        <f t="shared" si="3"/>
        <v>63.8394737817157</v>
      </c>
    </row>
    <row r="25" spans="1:11">
      <c r="A25" s="170" t="s">
        <v>25</v>
      </c>
      <c r="B25" s="190"/>
      <c r="C25" s="190"/>
      <c r="D25" s="190"/>
      <c r="E25" s="190"/>
      <c r="F25" s="194">
        <v>637499.07</v>
      </c>
      <c r="G25" s="195">
        <v>-856078</v>
      </c>
      <c r="H25" s="195">
        <v>-856078</v>
      </c>
      <c r="I25" s="195">
        <v>-426265.69</v>
      </c>
      <c r="J25" s="202">
        <f t="shared" si="2"/>
        <v>-66.8653038191883</v>
      </c>
      <c r="K25" s="202">
        <f t="shared" si="3"/>
        <v>49.7928564920486</v>
      </c>
    </row>
    <row r="26" spans="1:11">
      <c r="A26" s="211" t="s">
        <v>26</v>
      </c>
      <c r="B26" s="192"/>
      <c r="C26" s="192"/>
      <c r="D26" s="192"/>
      <c r="E26" s="193"/>
      <c r="F26" s="179">
        <f>+F23+F24+F25</f>
        <v>1669166.07</v>
      </c>
      <c r="G26" s="183">
        <f>+G23+G24+G25</f>
        <v>142519</v>
      </c>
      <c r="H26" s="183">
        <f>+H23+H24+H25</f>
        <v>142519</v>
      </c>
      <c r="I26" s="179">
        <f>+I23+I24+I25</f>
        <v>211233.38</v>
      </c>
      <c r="J26" s="179">
        <f t="shared" si="2"/>
        <v>12.6550247933089</v>
      </c>
      <c r="K26" s="179">
        <f t="shared" si="3"/>
        <v>148.214188985328</v>
      </c>
    </row>
    <row r="27" spans="1:11">
      <c r="A27" s="212" t="s">
        <v>27</v>
      </c>
      <c r="B27" s="196"/>
      <c r="C27" s="196"/>
      <c r="D27" s="196"/>
      <c r="E27" s="196"/>
      <c r="F27" s="182">
        <f>+F16+F26</f>
        <v>1539966.07</v>
      </c>
      <c r="G27" s="183">
        <f>+G16+G26</f>
        <v>0</v>
      </c>
      <c r="H27" s="183">
        <f>+H16+H26</f>
        <v>0</v>
      </c>
      <c r="I27" s="182">
        <f>+I16+I26</f>
        <v>0</v>
      </c>
      <c r="J27" s="179">
        <f t="shared" si="2"/>
        <v>0</v>
      </c>
      <c r="K27" s="179" t="e">
        <f t="shared" si="3"/>
        <v>#DIV/0!</v>
      </c>
    </row>
    <row r="29" ht="23.25" customHeight="1" spans="1:11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</row>
    <row r="30" ht="20.25" customHeight="1" spans="1:11">
      <c r="A30" s="197" t="s">
        <v>28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</row>
    <row r="31" ht="38.25" customHeight="1" spans="1:11">
      <c r="A31" s="197" t="s">
        <v>29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</row>
    <row r="33" ht="31.5" customHeight="1" spans="1:11">
      <c r="A33" s="198" t="s">
        <v>30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</sheetData>
  <mergeCells count="26">
    <mergeCell ref="A1:K1"/>
    <mergeCell ref="A3:K3"/>
    <mergeCell ref="A5:K5"/>
    <mergeCell ref="A7:E7"/>
    <mergeCell ref="A8:E8"/>
    <mergeCell ref="A9:E9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9:K29"/>
    <mergeCell ref="A30:K30"/>
    <mergeCell ref="A33:K33"/>
    <mergeCell ref="A31:K32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8"/>
  <sheetViews>
    <sheetView zoomScale="120" zoomScaleNormal="120" workbookViewId="0">
      <pane xSplit="2" ySplit="8" topLeftCell="C52" activePane="bottomRight" state="frozen"/>
      <selection/>
      <selection pane="topRight"/>
      <selection pane="bottomLeft"/>
      <selection pane="bottomRight" activeCell="H58" sqref="H58"/>
    </sheetView>
  </sheetViews>
  <sheetFormatPr defaultColWidth="9" defaultRowHeight="12.75"/>
  <cols>
    <col min="1" max="1" width="15.8571428571429" style="56" customWidth="1"/>
    <col min="2" max="2" width="57.5714285714286" style="57" customWidth="1"/>
    <col min="3" max="3" width="20.1428571428571" style="58" customWidth="1"/>
    <col min="4" max="5" width="17.5714285714286" style="59" customWidth="1"/>
    <col min="6" max="6" width="16.4285714285714" style="58" customWidth="1"/>
    <col min="7" max="8" width="13.4285714285714" style="58" customWidth="1"/>
    <col min="9" max="9" width="15.4285714285714" style="56" customWidth="1"/>
    <col min="10" max="10" width="9.42857142857143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5.8571428571429" style="56" customWidth="1"/>
    <col min="258" max="258" width="57.5714285714286" style="56" customWidth="1"/>
    <col min="259" max="259" width="20.1428571428571" style="56" customWidth="1"/>
    <col min="260" max="261" width="17.5714285714286" style="56" customWidth="1"/>
    <col min="262" max="262" width="16.4285714285714" style="56" customWidth="1"/>
    <col min="263" max="263" width="15.5714285714286" style="56" customWidth="1"/>
    <col min="264" max="264" width="11.8571428571429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5.8571428571429" style="56" customWidth="1"/>
    <col min="514" max="514" width="57.5714285714286" style="56" customWidth="1"/>
    <col min="515" max="515" width="20.1428571428571" style="56" customWidth="1"/>
    <col min="516" max="517" width="17.5714285714286" style="56" customWidth="1"/>
    <col min="518" max="518" width="16.4285714285714" style="56" customWidth="1"/>
    <col min="519" max="519" width="15.5714285714286" style="56" customWidth="1"/>
    <col min="520" max="520" width="11.8571428571429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5.8571428571429" style="56" customWidth="1"/>
    <col min="770" max="770" width="57.5714285714286" style="56" customWidth="1"/>
    <col min="771" max="771" width="20.1428571428571" style="56" customWidth="1"/>
    <col min="772" max="773" width="17.5714285714286" style="56" customWidth="1"/>
    <col min="774" max="774" width="16.4285714285714" style="56" customWidth="1"/>
    <col min="775" max="775" width="15.5714285714286" style="56" customWidth="1"/>
    <col min="776" max="776" width="11.8571428571429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5.8571428571429" style="56" customWidth="1"/>
    <col min="1026" max="1026" width="57.5714285714286" style="56" customWidth="1"/>
    <col min="1027" max="1027" width="20.1428571428571" style="56" customWidth="1"/>
    <col min="1028" max="1029" width="17.5714285714286" style="56" customWidth="1"/>
    <col min="1030" max="1030" width="16.4285714285714" style="56" customWidth="1"/>
    <col min="1031" max="1031" width="15.5714285714286" style="56" customWidth="1"/>
    <col min="1032" max="1032" width="11.8571428571429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5.8571428571429" style="56" customWidth="1"/>
    <col min="1282" max="1282" width="57.5714285714286" style="56" customWidth="1"/>
    <col min="1283" max="1283" width="20.1428571428571" style="56" customWidth="1"/>
    <col min="1284" max="1285" width="17.5714285714286" style="56" customWidth="1"/>
    <col min="1286" max="1286" width="16.4285714285714" style="56" customWidth="1"/>
    <col min="1287" max="1287" width="15.5714285714286" style="56" customWidth="1"/>
    <col min="1288" max="1288" width="11.8571428571429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5.8571428571429" style="56" customWidth="1"/>
    <col min="1538" max="1538" width="57.5714285714286" style="56" customWidth="1"/>
    <col min="1539" max="1539" width="20.1428571428571" style="56" customWidth="1"/>
    <col min="1540" max="1541" width="17.5714285714286" style="56" customWidth="1"/>
    <col min="1542" max="1542" width="16.4285714285714" style="56" customWidth="1"/>
    <col min="1543" max="1543" width="15.5714285714286" style="56" customWidth="1"/>
    <col min="1544" max="1544" width="11.8571428571429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5.8571428571429" style="56" customWidth="1"/>
    <col min="1794" max="1794" width="57.5714285714286" style="56" customWidth="1"/>
    <col min="1795" max="1795" width="20.1428571428571" style="56" customWidth="1"/>
    <col min="1796" max="1797" width="17.5714285714286" style="56" customWidth="1"/>
    <col min="1798" max="1798" width="16.4285714285714" style="56" customWidth="1"/>
    <col min="1799" max="1799" width="15.5714285714286" style="56" customWidth="1"/>
    <col min="1800" max="1800" width="11.8571428571429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5.8571428571429" style="56" customWidth="1"/>
    <col min="2050" max="2050" width="57.5714285714286" style="56" customWidth="1"/>
    <col min="2051" max="2051" width="20.1428571428571" style="56" customWidth="1"/>
    <col min="2052" max="2053" width="17.5714285714286" style="56" customWidth="1"/>
    <col min="2054" max="2054" width="16.4285714285714" style="56" customWidth="1"/>
    <col min="2055" max="2055" width="15.5714285714286" style="56" customWidth="1"/>
    <col min="2056" max="2056" width="11.8571428571429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5.8571428571429" style="56" customWidth="1"/>
    <col min="2306" max="2306" width="57.5714285714286" style="56" customWidth="1"/>
    <col min="2307" max="2307" width="20.1428571428571" style="56" customWidth="1"/>
    <col min="2308" max="2309" width="17.5714285714286" style="56" customWidth="1"/>
    <col min="2310" max="2310" width="16.4285714285714" style="56" customWidth="1"/>
    <col min="2311" max="2311" width="15.5714285714286" style="56" customWidth="1"/>
    <col min="2312" max="2312" width="11.8571428571429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5.8571428571429" style="56" customWidth="1"/>
    <col min="2562" max="2562" width="57.5714285714286" style="56" customWidth="1"/>
    <col min="2563" max="2563" width="20.1428571428571" style="56" customWidth="1"/>
    <col min="2564" max="2565" width="17.5714285714286" style="56" customWidth="1"/>
    <col min="2566" max="2566" width="16.4285714285714" style="56" customWidth="1"/>
    <col min="2567" max="2567" width="15.5714285714286" style="56" customWidth="1"/>
    <col min="2568" max="2568" width="11.8571428571429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5.8571428571429" style="56" customWidth="1"/>
    <col min="2818" max="2818" width="57.5714285714286" style="56" customWidth="1"/>
    <col min="2819" max="2819" width="20.1428571428571" style="56" customWidth="1"/>
    <col min="2820" max="2821" width="17.5714285714286" style="56" customWidth="1"/>
    <col min="2822" max="2822" width="16.4285714285714" style="56" customWidth="1"/>
    <col min="2823" max="2823" width="15.5714285714286" style="56" customWidth="1"/>
    <col min="2824" max="2824" width="11.8571428571429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5.8571428571429" style="56" customWidth="1"/>
    <col min="3074" max="3074" width="57.5714285714286" style="56" customWidth="1"/>
    <col min="3075" max="3075" width="20.1428571428571" style="56" customWidth="1"/>
    <col min="3076" max="3077" width="17.5714285714286" style="56" customWidth="1"/>
    <col min="3078" max="3078" width="16.4285714285714" style="56" customWidth="1"/>
    <col min="3079" max="3079" width="15.5714285714286" style="56" customWidth="1"/>
    <col min="3080" max="3080" width="11.8571428571429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5.8571428571429" style="56" customWidth="1"/>
    <col min="3330" max="3330" width="57.5714285714286" style="56" customWidth="1"/>
    <col min="3331" max="3331" width="20.1428571428571" style="56" customWidth="1"/>
    <col min="3332" max="3333" width="17.5714285714286" style="56" customWidth="1"/>
    <col min="3334" max="3334" width="16.4285714285714" style="56" customWidth="1"/>
    <col min="3335" max="3335" width="15.5714285714286" style="56" customWidth="1"/>
    <col min="3336" max="3336" width="11.8571428571429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5.8571428571429" style="56" customWidth="1"/>
    <col min="3586" max="3586" width="57.5714285714286" style="56" customWidth="1"/>
    <col min="3587" max="3587" width="20.1428571428571" style="56" customWidth="1"/>
    <col min="3588" max="3589" width="17.5714285714286" style="56" customWidth="1"/>
    <col min="3590" max="3590" width="16.4285714285714" style="56" customWidth="1"/>
    <col min="3591" max="3591" width="15.5714285714286" style="56" customWidth="1"/>
    <col min="3592" max="3592" width="11.8571428571429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5.8571428571429" style="56" customWidth="1"/>
    <col min="3842" max="3842" width="57.5714285714286" style="56" customWidth="1"/>
    <col min="3843" max="3843" width="20.1428571428571" style="56" customWidth="1"/>
    <col min="3844" max="3845" width="17.5714285714286" style="56" customWidth="1"/>
    <col min="3846" max="3846" width="16.4285714285714" style="56" customWidth="1"/>
    <col min="3847" max="3847" width="15.5714285714286" style="56" customWidth="1"/>
    <col min="3848" max="3848" width="11.8571428571429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5.8571428571429" style="56" customWidth="1"/>
    <col min="4098" max="4098" width="57.5714285714286" style="56" customWidth="1"/>
    <col min="4099" max="4099" width="20.1428571428571" style="56" customWidth="1"/>
    <col min="4100" max="4101" width="17.5714285714286" style="56" customWidth="1"/>
    <col min="4102" max="4102" width="16.4285714285714" style="56" customWidth="1"/>
    <col min="4103" max="4103" width="15.5714285714286" style="56" customWidth="1"/>
    <col min="4104" max="4104" width="11.8571428571429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5.8571428571429" style="56" customWidth="1"/>
    <col min="4354" max="4354" width="57.5714285714286" style="56" customWidth="1"/>
    <col min="4355" max="4355" width="20.1428571428571" style="56" customWidth="1"/>
    <col min="4356" max="4357" width="17.5714285714286" style="56" customWidth="1"/>
    <col min="4358" max="4358" width="16.4285714285714" style="56" customWidth="1"/>
    <col min="4359" max="4359" width="15.5714285714286" style="56" customWidth="1"/>
    <col min="4360" max="4360" width="11.8571428571429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5.8571428571429" style="56" customWidth="1"/>
    <col min="4610" max="4610" width="57.5714285714286" style="56" customWidth="1"/>
    <col min="4611" max="4611" width="20.1428571428571" style="56" customWidth="1"/>
    <col min="4612" max="4613" width="17.5714285714286" style="56" customWidth="1"/>
    <col min="4614" max="4614" width="16.4285714285714" style="56" customWidth="1"/>
    <col min="4615" max="4615" width="15.5714285714286" style="56" customWidth="1"/>
    <col min="4616" max="4616" width="11.8571428571429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5.8571428571429" style="56" customWidth="1"/>
    <col min="4866" max="4866" width="57.5714285714286" style="56" customWidth="1"/>
    <col min="4867" max="4867" width="20.1428571428571" style="56" customWidth="1"/>
    <col min="4868" max="4869" width="17.5714285714286" style="56" customWidth="1"/>
    <col min="4870" max="4870" width="16.4285714285714" style="56" customWidth="1"/>
    <col min="4871" max="4871" width="15.5714285714286" style="56" customWidth="1"/>
    <col min="4872" max="4872" width="11.8571428571429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5.8571428571429" style="56" customWidth="1"/>
    <col min="5122" max="5122" width="57.5714285714286" style="56" customWidth="1"/>
    <col min="5123" max="5123" width="20.1428571428571" style="56" customWidth="1"/>
    <col min="5124" max="5125" width="17.5714285714286" style="56" customWidth="1"/>
    <col min="5126" max="5126" width="16.4285714285714" style="56" customWidth="1"/>
    <col min="5127" max="5127" width="15.5714285714286" style="56" customWidth="1"/>
    <col min="5128" max="5128" width="11.8571428571429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5.8571428571429" style="56" customWidth="1"/>
    <col min="5378" max="5378" width="57.5714285714286" style="56" customWidth="1"/>
    <col min="5379" max="5379" width="20.1428571428571" style="56" customWidth="1"/>
    <col min="5380" max="5381" width="17.5714285714286" style="56" customWidth="1"/>
    <col min="5382" max="5382" width="16.4285714285714" style="56" customWidth="1"/>
    <col min="5383" max="5383" width="15.5714285714286" style="56" customWidth="1"/>
    <col min="5384" max="5384" width="11.8571428571429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5.8571428571429" style="56" customWidth="1"/>
    <col min="5634" max="5634" width="57.5714285714286" style="56" customWidth="1"/>
    <col min="5635" max="5635" width="20.1428571428571" style="56" customWidth="1"/>
    <col min="5636" max="5637" width="17.5714285714286" style="56" customWidth="1"/>
    <col min="5638" max="5638" width="16.4285714285714" style="56" customWidth="1"/>
    <col min="5639" max="5639" width="15.5714285714286" style="56" customWidth="1"/>
    <col min="5640" max="5640" width="11.8571428571429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5.8571428571429" style="56" customWidth="1"/>
    <col min="5890" max="5890" width="57.5714285714286" style="56" customWidth="1"/>
    <col min="5891" max="5891" width="20.1428571428571" style="56" customWidth="1"/>
    <col min="5892" max="5893" width="17.5714285714286" style="56" customWidth="1"/>
    <col min="5894" max="5894" width="16.4285714285714" style="56" customWidth="1"/>
    <col min="5895" max="5895" width="15.5714285714286" style="56" customWidth="1"/>
    <col min="5896" max="5896" width="11.8571428571429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5.8571428571429" style="56" customWidth="1"/>
    <col min="6146" max="6146" width="57.5714285714286" style="56" customWidth="1"/>
    <col min="6147" max="6147" width="20.1428571428571" style="56" customWidth="1"/>
    <col min="6148" max="6149" width="17.5714285714286" style="56" customWidth="1"/>
    <col min="6150" max="6150" width="16.4285714285714" style="56" customWidth="1"/>
    <col min="6151" max="6151" width="15.5714285714286" style="56" customWidth="1"/>
    <col min="6152" max="6152" width="11.8571428571429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5.8571428571429" style="56" customWidth="1"/>
    <col min="6402" max="6402" width="57.5714285714286" style="56" customWidth="1"/>
    <col min="6403" max="6403" width="20.1428571428571" style="56" customWidth="1"/>
    <col min="6404" max="6405" width="17.5714285714286" style="56" customWidth="1"/>
    <col min="6406" max="6406" width="16.4285714285714" style="56" customWidth="1"/>
    <col min="6407" max="6407" width="15.5714285714286" style="56" customWidth="1"/>
    <col min="6408" max="6408" width="11.8571428571429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5.8571428571429" style="56" customWidth="1"/>
    <col min="6658" max="6658" width="57.5714285714286" style="56" customWidth="1"/>
    <col min="6659" max="6659" width="20.1428571428571" style="56" customWidth="1"/>
    <col min="6660" max="6661" width="17.5714285714286" style="56" customWidth="1"/>
    <col min="6662" max="6662" width="16.4285714285714" style="56" customWidth="1"/>
    <col min="6663" max="6663" width="15.5714285714286" style="56" customWidth="1"/>
    <col min="6664" max="6664" width="11.8571428571429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5.8571428571429" style="56" customWidth="1"/>
    <col min="6914" max="6914" width="57.5714285714286" style="56" customWidth="1"/>
    <col min="6915" max="6915" width="20.1428571428571" style="56" customWidth="1"/>
    <col min="6916" max="6917" width="17.5714285714286" style="56" customWidth="1"/>
    <col min="6918" max="6918" width="16.4285714285714" style="56" customWidth="1"/>
    <col min="6919" max="6919" width="15.5714285714286" style="56" customWidth="1"/>
    <col min="6920" max="6920" width="11.8571428571429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5.8571428571429" style="56" customWidth="1"/>
    <col min="7170" max="7170" width="57.5714285714286" style="56" customWidth="1"/>
    <col min="7171" max="7171" width="20.1428571428571" style="56" customWidth="1"/>
    <col min="7172" max="7173" width="17.5714285714286" style="56" customWidth="1"/>
    <col min="7174" max="7174" width="16.4285714285714" style="56" customWidth="1"/>
    <col min="7175" max="7175" width="15.5714285714286" style="56" customWidth="1"/>
    <col min="7176" max="7176" width="11.8571428571429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5.8571428571429" style="56" customWidth="1"/>
    <col min="7426" max="7426" width="57.5714285714286" style="56" customWidth="1"/>
    <col min="7427" max="7427" width="20.1428571428571" style="56" customWidth="1"/>
    <col min="7428" max="7429" width="17.5714285714286" style="56" customWidth="1"/>
    <col min="7430" max="7430" width="16.4285714285714" style="56" customWidth="1"/>
    <col min="7431" max="7431" width="15.5714285714286" style="56" customWidth="1"/>
    <col min="7432" max="7432" width="11.8571428571429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5.8571428571429" style="56" customWidth="1"/>
    <col min="7682" max="7682" width="57.5714285714286" style="56" customWidth="1"/>
    <col min="7683" max="7683" width="20.1428571428571" style="56" customWidth="1"/>
    <col min="7684" max="7685" width="17.5714285714286" style="56" customWidth="1"/>
    <col min="7686" max="7686" width="16.4285714285714" style="56" customWidth="1"/>
    <col min="7687" max="7687" width="15.5714285714286" style="56" customWidth="1"/>
    <col min="7688" max="7688" width="11.8571428571429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5.8571428571429" style="56" customWidth="1"/>
    <col min="7938" max="7938" width="57.5714285714286" style="56" customWidth="1"/>
    <col min="7939" max="7939" width="20.1428571428571" style="56" customWidth="1"/>
    <col min="7940" max="7941" width="17.5714285714286" style="56" customWidth="1"/>
    <col min="7942" max="7942" width="16.4285714285714" style="56" customWidth="1"/>
    <col min="7943" max="7943" width="15.5714285714286" style="56" customWidth="1"/>
    <col min="7944" max="7944" width="11.8571428571429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5.8571428571429" style="56" customWidth="1"/>
    <col min="8194" max="8194" width="57.5714285714286" style="56" customWidth="1"/>
    <col min="8195" max="8195" width="20.1428571428571" style="56" customWidth="1"/>
    <col min="8196" max="8197" width="17.5714285714286" style="56" customWidth="1"/>
    <col min="8198" max="8198" width="16.4285714285714" style="56" customWidth="1"/>
    <col min="8199" max="8199" width="15.5714285714286" style="56" customWidth="1"/>
    <col min="8200" max="8200" width="11.8571428571429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5.8571428571429" style="56" customWidth="1"/>
    <col min="8450" max="8450" width="57.5714285714286" style="56" customWidth="1"/>
    <col min="8451" max="8451" width="20.1428571428571" style="56" customWidth="1"/>
    <col min="8452" max="8453" width="17.5714285714286" style="56" customWidth="1"/>
    <col min="8454" max="8454" width="16.4285714285714" style="56" customWidth="1"/>
    <col min="8455" max="8455" width="15.5714285714286" style="56" customWidth="1"/>
    <col min="8456" max="8456" width="11.8571428571429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5.8571428571429" style="56" customWidth="1"/>
    <col min="8706" max="8706" width="57.5714285714286" style="56" customWidth="1"/>
    <col min="8707" max="8707" width="20.1428571428571" style="56" customWidth="1"/>
    <col min="8708" max="8709" width="17.5714285714286" style="56" customWidth="1"/>
    <col min="8710" max="8710" width="16.4285714285714" style="56" customWidth="1"/>
    <col min="8711" max="8711" width="15.5714285714286" style="56" customWidth="1"/>
    <col min="8712" max="8712" width="11.8571428571429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5.8571428571429" style="56" customWidth="1"/>
    <col min="8962" max="8962" width="57.5714285714286" style="56" customWidth="1"/>
    <col min="8963" max="8963" width="20.1428571428571" style="56" customWidth="1"/>
    <col min="8964" max="8965" width="17.5714285714286" style="56" customWidth="1"/>
    <col min="8966" max="8966" width="16.4285714285714" style="56" customWidth="1"/>
    <col min="8967" max="8967" width="15.5714285714286" style="56" customWidth="1"/>
    <col min="8968" max="8968" width="11.8571428571429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5.8571428571429" style="56" customWidth="1"/>
    <col min="9218" max="9218" width="57.5714285714286" style="56" customWidth="1"/>
    <col min="9219" max="9219" width="20.1428571428571" style="56" customWidth="1"/>
    <col min="9220" max="9221" width="17.5714285714286" style="56" customWidth="1"/>
    <col min="9222" max="9222" width="16.4285714285714" style="56" customWidth="1"/>
    <col min="9223" max="9223" width="15.5714285714286" style="56" customWidth="1"/>
    <col min="9224" max="9224" width="11.8571428571429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5.8571428571429" style="56" customWidth="1"/>
    <col min="9474" max="9474" width="57.5714285714286" style="56" customWidth="1"/>
    <col min="9475" max="9475" width="20.1428571428571" style="56" customWidth="1"/>
    <col min="9476" max="9477" width="17.5714285714286" style="56" customWidth="1"/>
    <col min="9478" max="9478" width="16.4285714285714" style="56" customWidth="1"/>
    <col min="9479" max="9479" width="15.5714285714286" style="56" customWidth="1"/>
    <col min="9480" max="9480" width="11.8571428571429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5.8571428571429" style="56" customWidth="1"/>
    <col min="9730" max="9730" width="57.5714285714286" style="56" customWidth="1"/>
    <col min="9731" max="9731" width="20.1428571428571" style="56" customWidth="1"/>
    <col min="9732" max="9733" width="17.5714285714286" style="56" customWidth="1"/>
    <col min="9734" max="9734" width="16.4285714285714" style="56" customWidth="1"/>
    <col min="9735" max="9735" width="15.5714285714286" style="56" customWidth="1"/>
    <col min="9736" max="9736" width="11.8571428571429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5.8571428571429" style="56" customWidth="1"/>
    <col min="9986" max="9986" width="57.5714285714286" style="56" customWidth="1"/>
    <col min="9987" max="9987" width="20.1428571428571" style="56" customWidth="1"/>
    <col min="9988" max="9989" width="17.5714285714286" style="56" customWidth="1"/>
    <col min="9990" max="9990" width="16.4285714285714" style="56" customWidth="1"/>
    <col min="9991" max="9991" width="15.5714285714286" style="56" customWidth="1"/>
    <col min="9992" max="9992" width="11.8571428571429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5.8571428571429" style="56" customWidth="1"/>
    <col min="10242" max="10242" width="57.5714285714286" style="56" customWidth="1"/>
    <col min="10243" max="10243" width="20.1428571428571" style="56" customWidth="1"/>
    <col min="10244" max="10245" width="17.5714285714286" style="56" customWidth="1"/>
    <col min="10246" max="10246" width="16.4285714285714" style="56" customWidth="1"/>
    <col min="10247" max="10247" width="15.5714285714286" style="56" customWidth="1"/>
    <col min="10248" max="10248" width="11.8571428571429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5.8571428571429" style="56" customWidth="1"/>
    <col min="10498" max="10498" width="57.5714285714286" style="56" customWidth="1"/>
    <col min="10499" max="10499" width="20.1428571428571" style="56" customWidth="1"/>
    <col min="10500" max="10501" width="17.5714285714286" style="56" customWidth="1"/>
    <col min="10502" max="10502" width="16.4285714285714" style="56" customWidth="1"/>
    <col min="10503" max="10503" width="15.5714285714286" style="56" customWidth="1"/>
    <col min="10504" max="10504" width="11.8571428571429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5.8571428571429" style="56" customWidth="1"/>
    <col min="10754" max="10754" width="57.5714285714286" style="56" customWidth="1"/>
    <col min="10755" max="10755" width="20.1428571428571" style="56" customWidth="1"/>
    <col min="10756" max="10757" width="17.5714285714286" style="56" customWidth="1"/>
    <col min="10758" max="10758" width="16.4285714285714" style="56" customWidth="1"/>
    <col min="10759" max="10759" width="15.5714285714286" style="56" customWidth="1"/>
    <col min="10760" max="10760" width="11.8571428571429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5.8571428571429" style="56" customWidth="1"/>
    <col min="11010" max="11010" width="57.5714285714286" style="56" customWidth="1"/>
    <col min="11011" max="11011" width="20.1428571428571" style="56" customWidth="1"/>
    <col min="11012" max="11013" width="17.5714285714286" style="56" customWidth="1"/>
    <col min="11014" max="11014" width="16.4285714285714" style="56" customWidth="1"/>
    <col min="11015" max="11015" width="15.5714285714286" style="56" customWidth="1"/>
    <col min="11016" max="11016" width="11.8571428571429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5.8571428571429" style="56" customWidth="1"/>
    <col min="11266" max="11266" width="57.5714285714286" style="56" customWidth="1"/>
    <col min="11267" max="11267" width="20.1428571428571" style="56" customWidth="1"/>
    <col min="11268" max="11269" width="17.5714285714286" style="56" customWidth="1"/>
    <col min="11270" max="11270" width="16.4285714285714" style="56" customWidth="1"/>
    <col min="11271" max="11271" width="15.5714285714286" style="56" customWidth="1"/>
    <col min="11272" max="11272" width="11.8571428571429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5.8571428571429" style="56" customWidth="1"/>
    <col min="11522" max="11522" width="57.5714285714286" style="56" customWidth="1"/>
    <col min="11523" max="11523" width="20.1428571428571" style="56" customWidth="1"/>
    <col min="11524" max="11525" width="17.5714285714286" style="56" customWidth="1"/>
    <col min="11526" max="11526" width="16.4285714285714" style="56" customWidth="1"/>
    <col min="11527" max="11527" width="15.5714285714286" style="56" customWidth="1"/>
    <col min="11528" max="11528" width="11.8571428571429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5.8571428571429" style="56" customWidth="1"/>
    <col min="11778" max="11778" width="57.5714285714286" style="56" customWidth="1"/>
    <col min="11779" max="11779" width="20.1428571428571" style="56" customWidth="1"/>
    <col min="11780" max="11781" width="17.5714285714286" style="56" customWidth="1"/>
    <col min="11782" max="11782" width="16.4285714285714" style="56" customWidth="1"/>
    <col min="11783" max="11783" width="15.5714285714286" style="56" customWidth="1"/>
    <col min="11784" max="11784" width="11.8571428571429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5.8571428571429" style="56" customWidth="1"/>
    <col min="12034" max="12034" width="57.5714285714286" style="56" customWidth="1"/>
    <col min="12035" max="12035" width="20.1428571428571" style="56" customWidth="1"/>
    <col min="12036" max="12037" width="17.5714285714286" style="56" customWidth="1"/>
    <col min="12038" max="12038" width="16.4285714285714" style="56" customWidth="1"/>
    <col min="12039" max="12039" width="15.5714285714286" style="56" customWidth="1"/>
    <col min="12040" max="12040" width="11.8571428571429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5.8571428571429" style="56" customWidth="1"/>
    <col min="12290" max="12290" width="57.5714285714286" style="56" customWidth="1"/>
    <col min="12291" max="12291" width="20.1428571428571" style="56" customWidth="1"/>
    <col min="12292" max="12293" width="17.5714285714286" style="56" customWidth="1"/>
    <col min="12294" max="12294" width="16.4285714285714" style="56" customWidth="1"/>
    <col min="12295" max="12295" width="15.5714285714286" style="56" customWidth="1"/>
    <col min="12296" max="12296" width="11.8571428571429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5.8571428571429" style="56" customWidth="1"/>
    <col min="12546" max="12546" width="57.5714285714286" style="56" customWidth="1"/>
    <col min="12547" max="12547" width="20.1428571428571" style="56" customWidth="1"/>
    <col min="12548" max="12549" width="17.5714285714286" style="56" customWidth="1"/>
    <col min="12550" max="12550" width="16.4285714285714" style="56" customWidth="1"/>
    <col min="12551" max="12551" width="15.5714285714286" style="56" customWidth="1"/>
    <col min="12552" max="12552" width="11.8571428571429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5.8571428571429" style="56" customWidth="1"/>
    <col min="12802" max="12802" width="57.5714285714286" style="56" customWidth="1"/>
    <col min="12803" max="12803" width="20.1428571428571" style="56" customWidth="1"/>
    <col min="12804" max="12805" width="17.5714285714286" style="56" customWidth="1"/>
    <col min="12806" max="12806" width="16.4285714285714" style="56" customWidth="1"/>
    <col min="12807" max="12807" width="15.5714285714286" style="56" customWidth="1"/>
    <col min="12808" max="12808" width="11.8571428571429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5.8571428571429" style="56" customWidth="1"/>
    <col min="13058" max="13058" width="57.5714285714286" style="56" customWidth="1"/>
    <col min="13059" max="13059" width="20.1428571428571" style="56" customWidth="1"/>
    <col min="13060" max="13061" width="17.5714285714286" style="56" customWidth="1"/>
    <col min="13062" max="13062" width="16.4285714285714" style="56" customWidth="1"/>
    <col min="13063" max="13063" width="15.5714285714286" style="56" customWidth="1"/>
    <col min="13064" max="13064" width="11.8571428571429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5.8571428571429" style="56" customWidth="1"/>
    <col min="13314" max="13314" width="57.5714285714286" style="56" customWidth="1"/>
    <col min="13315" max="13315" width="20.1428571428571" style="56" customWidth="1"/>
    <col min="13316" max="13317" width="17.5714285714286" style="56" customWidth="1"/>
    <col min="13318" max="13318" width="16.4285714285714" style="56" customWidth="1"/>
    <col min="13319" max="13319" width="15.5714285714286" style="56" customWidth="1"/>
    <col min="13320" max="13320" width="11.8571428571429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5.8571428571429" style="56" customWidth="1"/>
    <col min="13570" max="13570" width="57.5714285714286" style="56" customWidth="1"/>
    <col min="13571" max="13571" width="20.1428571428571" style="56" customWidth="1"/>
    <col min="13572" max="13573" width="17.5714285714286" style="56" customWidth="1"/>
    <col min="13574" max="13574" width="16.4285714285714" style="56" customWidth="1"/>
    <col min="13575" max="13575" width="15.5714285714286" style="56" customWidth="1"/>
    <col min="13576" max="13576" width="11.8571428571429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5.8571428571429" style="56" customWidth="1"/>
    <col min="13826" max="13826" width="57.5714285714286" style="56" customWidth="1"/>
    <col min="13827" max="13827" width="20.1428571428571" style="56" customWidth="1"/>
    <col min="13828" max="13829" width="17.5714285714286" style="56" customWidth="1"/>
    <col min="13830" max="13830" width="16.4285714285714" style="56" customWidth="1"/>
    <col min="13831" max="13831" width="15.5714285714286" style="56" customWidth="1"/>
    <col min="13832" max="13832" width="11.8571428571429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5.8571428571429" style="56" customWidth="1"/>
    <col min="14082" max="14082" width="57.5714285714286" style="56" customWidth="1"/>
    <col min="14083" max="14083" width="20.1428571428571" style="56" customWidth="1"/>
    <col min="14084" max="14085" width="17.5714285714286" style="56" customWidth="1"/>
    <col min="14086" max="14086" width="16.4285714285714" style="56" customWidth="1"/>
    <col min="14087" max="14087" width="15.5714285714286" style="56" customWidth="1"/>
    <col min="14088" max="14088" width="11.8571428571429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5.8571428571429" style="56" customWidth="1"/>
    <col min="14338" max="14338" width="57.5714285714286" style="56" customWidth="1"/>
    <col min="14339" max="14339" width="20.1428571428571" style="56" customWidth="1"/>
    <col min="14340" max="14341" width="17.5714285714286" style="56" customWidth="1"/>
    <col min="14342" max="14342" width="16.4285714285714" style="56" customWidth="1"/>
    <col min="14343" max="14343" width="15.5714285714286" style="56" customWidth="1"/>
    <col min="14344" max="14344" width="11.8571428571429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5.8571428571429" style="56" customWidth="1"/>
    <col min="14594" max="14594" width="57.5714285714286" style="56" customWidth="1"/>
    <col min="14595" max="14595" width="20.1428571428571" style="56" customWidth="1"/>
    <col min="14596" max="14597" width="17.5714285714286" style="56" customWidth="1"/>
    <col min="14598" max="14598" width="16.4285714285714" style="56" customWidth="1"/>
    <col min="14599" max="14599" width="15.5714285714286" style="56" customWidth="1"/>
    <col min="14600" max="14600" width="11.8571428571429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5.8571428571429" style="56" customWidth="1"/>
    <col min="14850" max="14850" width="57.5714285714286" style="56" customWidth="1"/>
    <col min="14851" max="14851" width="20.1428571428571" style="56" customWidth="1"/>
    <col min="14852" max="14853" width="17.5714285714286" style="56" customWidth="1"/>
    <col min="14854" max="14854" width="16.4285714285714" style="56" customWidth="1"/>
    <col min="14855" max="14855" width="15.5714285714286" style="56" customWidth="1"/>
    <col min="14856" max="14856" width="11.8571428571429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5.8571428571429" style="56" customWidth="1"/>
    <col min="15106" max="15106" width="57.5714285714286" style="56" customWidth="1"/>
    <col min="15107" max="15107" width="20.1428571428571" style="56" customWidth="1"/>
    <col min="15108" max="15109" width="17.5714285714286" style="56" customWidth="1"/>
    <col min="15110" max="15110" width="16.4285714285714" style="56" customWidth="1"/>
    <col min="15111" max="15111" width="15.5714285714286" style="56" customWidth="1"/>
    <col min="15112" max="15112" width="11.8571428571429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5.8571428571429" style="56" customWidth="1"/>
    <col min="15362" max="15362" width="57.5714285714286" style="56" customWidth="1"/>
    <col min="15363" max="15363" width="20.1428571428571" style="56" customWidth="1"/>
    <col min="15364" max="15365" width="17.5714285714286" style="56" customWidth="1"/>
    <col min="15366" max="15366" width="16.4285714285714" style="56" customWidth="1"/>
    <col min="15367" max="15367" width="15.5714285714286" style="56" customWidth="1"/>
    <col min="15368" max="15368" width="11.8571428571429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5.8571428571429" style="56" customWidth="1"/>
    <col min="15618" max="15618" width="57.5714285714286" style="56" customWidth="1"/>
    <col min="15619" max="15619" width="20.1428571428571" style="56" customWidth="1"/>
    <col min="15620" max="15621" width="17.5714285714286" style="56" customWidth="1"/>
    <col min="15622" max="15622" width="16.4285714285714" style="56" customWidth="1"/>
    <col min="15623" max="15623" width="15.5714285714286" style="56" customWidth="1"/>
    <col min="15624" max="15624" width="11.8571428571429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5.8571428571429" style="56" customWidth="1"/>
    <col min="15874" max="15874" width="57.5714285714286" style="56" customWidth="1"/>
    <col min="15875" max="15875" width="20.1428571428571" style="56" customWidth="1"/>
    <col min="15876" max="15877" width="17.5714285714286" style="56" customWidth="1"/>
    <col min="15878" max="15878" width="16.4285714285714" style="56" customWidth="1"/>
    <col min="15879" max="15879" width="15.5714285714286" style="56" customWidth="1"/>
    <col min="15880" max="15880" width="11.8571428571429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5.8571428571429" style="56" customWidth="1"/>
    <col min="16130" max="16130" width="57.5714285714286" style="56" customWidth="1"/>
    <col min="16131" max="16131" width="20.1428571428571" style="56" customWidth="1"/>
    <col min="16132" max="16133" width="17.5714285714286" style="56" customWidth="1"/>
    <col min="16134" max="16134" width="16.4285714285714" style="56" customWidth="1"/>
    <col min="16135" max="16135" width="15.5714285714286" style="56" customWidth="1"/>
    <col min="16136" max="16136" width="11.8571428571429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15.75" spans="1:15">
      <c r="A1" s="61" t="s">
        <v>1</v>
      </c>
      <c r="B1" s="61"/>
      <c r="C1" s="61"/>
      <c r="D1" s="61"/>
      <c r="E1" s="61"/>
      <c r="F1" s="61"/>
      <c r="G1" s="61"/>
      <c r="H1" s="61"/>
      <c r="I1" s="82"/>
      <c r="J1" s="82"/>
      <c r="K1" s="82"/>
      <c r="L1" s="80"/>
      <c r="M1" s="80"/>
      <c r="N1" s="80"/>
      <c r="O1" s="80"/>
    </row>
    <row r="2" ht="18" spans="1:15">
      <c r="A2" s="60"/>
      <c r="B2" s="60"/>
      <c r="C2" s="60"/>
      <c r="D2" s="60"/>
      <c r="E2" s="60"/>
      <c r="F2" s="60"/>
      <c r="G2" s="60"/>
      <c r="H2" s="126"/>
      <c r="I2" s="81"/>
      <c r="J2" s="81"/>
      <c r="K2" s="81"/>
      <c r="L2" s="80"/>
      <c r="M2" s="80"/>
      <c r="N2" s="80"/>
      <c r="O2" s="80"/>
    </row>
    <row r="3" ht="15.75" customHeight="1" spans="1:15">
      <c r="A3" s="61" t="s">
        <v>31</v>
      </c>
      <c r="B3" s="61"/>
      <c r="C3" s="61"/>
      <c r="D3" s="61"/>
      <c r="E3" s="61"/>
      <c r="F3" s="61"/>
      <c r="G3" s="61"/>
      <c r="H3" s="61"/>
      <c r="I3" s="82"/>
      <c r="J3" s="82"/>
      <c r="K3" s="82"/>
      <c r="L3" s="80"/>
      <c r="M3" s="80"/>
      <c r="N3" s="80"/>
      <c r="O3" s="80"/>
    </row>
    <row r="4" ht="18" spans="1:15">
      <c r="A4" s="60"/>
      <c r="B4" s="60"/>
      <c r="C4" s="60"/>
      <c r="D4" s="60"/>
      <c r="E4" s="60"/>
      <c r="F4" s="60"/>
      <c r="G4" s="60"/>
      <c r="H4" s="126"/>
      <c r="I4" s="81"/>
      <c r="J4" s="81"/>
      <c r="K4" s="81"/>
      <c r="L4" s="80"/>
      <c r="M4" s="80"/>
      <c r="N4" s="80"/>
      <c r="O4" s="80"/>
    </row>
    <row r="5" ht="15.75" customHeight="1" spans="1:15">
      <c r="A5" s="61" t="s">
        <v>32</v>
      </c>
      <c r="B5" s="61"/>
      <c r="C5" s="61"/>
      <c r="D5" s="61"/>
      <c r="E5" s="61"/>
      <c r="F5" s="61"/>
      <c r="G5" s="61"/>
      <c r="H5" s="61"/>
      <c r="I5" s="82"/>
      <c r="J5" s="82"/>
      <c r="K5" s="82"/>
      <c r="L5" s="80"/>
      <c r="M5" s="80"/>
      <c r="N5" s="80"/>
      <c r="O5" s="80"/>
    </row>
    <row r="6" ht="18" spans="1:15">
      <c r="A6" s="60"/>
      <c r="B6" s="60"/>
      <c r="C6" s="60"/>
      <c r="D6" s="60"/>
      <c r="E6" s="60"/>
      <c r="F6" s="60"/>
      <c r="G6" s="60"/>
      <c r="H6" s="126"/>
      <c r="I6" s="81"/>
      <c r="J6" s="81"/>
      <c r="K6" s="81"/>
      <c r="L6" s="80"/>
      <c r="M6" s="80"/>
      <c r="N6" s="80"/>
      <c r="O6" s="80"/>
    </row>
    <row r="7" s="54" customFormat="1" ht="57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83"/>
      <c r="J7" s="83"/>
      <c r="K7" s="83"/>
      <c r="L7" s="83"/>
      <c r="M7" s="83"/>
      <c r="N7" s="83"/>
      <c r="O7" s="83"/>
    </row>
    <row r="8" s="55" customForma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84"/>
      <c r="J8" s="84"/>
      <c r="K8" s="84"/>
      <c r="L8" s="84"/>
      <c r="M8" s="85"/>
      <c r="N8" s="85"/>
      <c r="O8" s="85"/>
    </row>
    <row r="9" ht="15" customHeight="1" spans="1:15">
      <c r="A9" s="213" t="s">
        <v>39</v>
      </c>
      <c r="B9" s="213" t="s">
        <v>40</v>
      </c>
      <c r="C9" s="214" t="s">
        <v>41</v>
      </c>
      <c r="D9" s="214" t="s">
        <v>41</v>
      </c>
      <c r="E9" s="214" t="s">
        <v>41</v>
      </c>
      <c r="F9" s="214" t="s">
        <v>41</v>
      </c>
      <c r="G9" s="214" t="s">
        <v>40</v>
      </c>
      <c r="H9" s="214" t="s">
        <v>40</v>
      </c>
      <c r="I9" s="100"/>
      <c r="J9" s="100"/>
      <c r="K9" s="100"/>
      <c r="L9" s="100"/>
      <c r="M9" s="101"/>
      <c r="N9" s="101"/>
      <c r="O9" s="101"/>
    </row>
    <row r="10" s="55" customFormat="1" spans="1:15">
      <c r="A10" s="127"/>
      <c r="B10" s="148" t="s">
        <v>42</v>
      </c>
      <c r="C10" s="129">
        <f>+C11+C70</f>
        <v>3719743</v>
      </c>
      <c r="D10" s="149">
        <f>+D11+D70</f>
        <v>7207351</v>
      </c>
      <c r="E10" s="149">
        <f>+E11+E70</f>
        <v>7207351</v>
      </c>
      <c r="F10" s="129">
        <f>+F11+F70</f>
        <v>3961521.52</v>
      </c>
      <c r="G10" s="129">
        <f>+F10/C10*100</f>
        <v>106.499871630916</v>
      </c>
      <c r="H10" s="129">
        <f>+F10/E10*100</f>
        <v>54.9650144692551</v>
      </c>
      <c r="I10" s="100"/>
      <c r="J10" s="100"/>
      <c r="K10" s="100"/>
      <c r="L10" s="100"/>
      <c r="M10" s="120"/>
      <c r="N10" s="120"/>
      <c r="O10" s="120"/>
    </row>
    <row r="11" spans="1:15">
      <c r="A11" s="215" t="s">
        <v>43</v>
      </c>
      <c r="B11" s="216" t="s">
        <v>44</v>
      </c>
      <c r="C11" s="132">
        <f>+C12+C34+C45+C51+C58+C65</f>
        <v>3712240</v>
      </c>
      <c r="D11" s="133">
        <f>+D12+D34+D45+D51+D58+D65</f>
        <v>7207001</v>
      </c>
      <c r="E11" s="133">
        <f>+E12+E34+E45+E51+E58+E65</f>
        <v>7207001</v>
      </c>
      <c r="F11" s="132">
        <f>+F12+F34+F45+F51+F58+F65</f>
        <v>3961191.02</v>
      </c>
      <c r="G11" s="106">
        <f>+F11/C11*100</f>
        <v>106.706221041743</v>
      </c>
      <c r="H11" s="106">
        <f>+F11/E11*100</f>
        <v>54.9630979654367</v>
      </c>
      <c r="I11" s="103"/>
      <c r="J11" s="103"/>
      <c r="K11" s="103"/>
      <c r="L11" s="103"/>
      <c r="M11" s="103"/>
      <c r="N11" s="103"/>
      <c r="O11" s="103"/>
    </row>
    <row r="12" spans="1:15">
      <c r="A12" s="217" t="s">
        <v>45</v>
      </c>
      <c r="B12" s="218" t="s">
        <v>46</v>
      </c>
      <c r="C12" s="96">
        <f>+C13+C15+C20+C23+C26+C29</f>
        <v>410716</v>
      </c>
      <c r="D12" s="79">
        <v>378992</v>
      </c>
      <c r="E12" s="79">
        <v>378992</v>
      </c>
      <c r="F12" s="96">
        <f>+F13+F15+F20+F23+F26+F29</f>
        <v>444989.35</v>
      </c>
      <c r="G12" s="96">
        <f>+F12/C12*100</f>
        <v>108.344780821784</v>
      </c>
      <c r="H12" s="96">
        <f>+F12/E12*100</f>
        <v>117.413916388736</v>
      </c>
      <c r="I12" s="87"/>
      <c r="J12" s="87"/>
      <c r="K12" s="87"/>
      <c r="L12" s="87"/>
      <c r="M12" s="87"/>
      <c r="N12" s="87"/>
      <c r="O12" s="87"/>
    </row>
    <row r="13" spans="1:15">
      <c r="A13" s="219" t="s">
        <v>47</v>
      </c>
      <c r="B13" s="220" t="s">
        <v>48</v>
      </c>
      <c r="C13" s="96">
        <f>+C14</f>
        <v>0</v>
      </c>
      <c r="D13" s="137"/>
      <c r="E13" s="137"/>
      <c r="F13" s="96">
        <f>+F14</f>
        <v>0</v>
      </c>
      <c r="G13" s="96" t="e">
        <f t="shared" ref="G13:G72" si="0">+F13/C13*100</f>
        <v>#DIV/0!</v>
      </c>
      <c r="H13" s="96"/>
      <c r="I13" s="87"/>
      <c r="J13" s="87"/>
      <c r="K13" s="87"/>
      <c r="L13" s="87"/>
      <c r="M13" s="87"/>
      <c r="N13" s="87"/>
      <c r="O13" s="87"/>
    </row>
    <row r="14" spans="1:15">
      <c r="A14" s="221" t="s">
        <v>49</v>
      </c>
      <c r="B14" s="222" t="s">
        <v>50</v>
      </c>
      <c r="C14" s="78">
        <v>0</v>
      </c>
      <c r="D14" s="139"/>
      <c r="E14" s="139"/>
      <c r="F14" s="78">
        <v>0</v>
      </c>
      <c r="G14" s="78" t="e">
        <f t="shared" si="0"/>
        <v>#DIV/0!</v>
      </c>
      <c r="H14" s="96"/>
      <c r="I14" s="86"/>
      <c r="J14" s="86"/>
      <c r="K14" s="86"/>
      <c r="L14" s="86"/>
      <c r="M14" s="87"/>
      <c r="N14" s="87"/>
      <c r="O14" s="87"/>
    </row>
    <row r="15" spans="1:15">
      <c r="A15" s="219" t="s">
        <v>51</v>
      </c>
      <c r="B15" s="220" t="s">
        <v>52</v>
      </c>
      <c r="C15" s="96">
        <f>SUM(C16:C19)</f>
        <v>214261</v>
      </c>
      <c r="D15" s="137"/>
      <c r="E15" s="137"/>
      <c r="F15" s="96">
        <f>SUM(F16:F19)</f>
        <v>79727.45</v>
      </c>
      <c r="G15" s="96">
        <f t="shared" si="0"/>
        <v>37.2104349368294</v>
      </c>
      <c r="H15" s="96"/>
      <c r="I15" s="87"/>
      <c r="J15" s="87"/>
      <c r="K15" s="87"/>
      <c r="L15" s="87"/>
      <c r="M15" s="87"/>
      <c r="N15" s="87"/>
      <c r="O15" s="87"/>
    </row>
    <row r="16" spans="1:15">
      <c r="A16" s="221" t="s">
        <v>53</v>
      </c>
      <c r="B16" s="222" t="s">
        <v>54</v>
      </c>
      <c r="C16" s="78">
        <v>11475</v>
      </c>
      <c r="D16" s="139"/>
      <c r="E16" s="139"/>
      <c r="F16" s="78">
        <v>16000</v>
      </c>
      <c r="G16" s="78">
        <f t="shared" si="0"/>
        <v>139.433551198257</v>
      </c>
      <c r="H16" s="96"/>
      <c r="I16" s="86"/>
      <c r="J16" s="86"/>
      <c r="K16" s="86"/>
      <c r="L16" s="86"/>
      <c r="M16" s="87"/>
      <c r="N16" s="87"/>
      <c r="O16" s="87"/>
    </row>
    <row r="17" spans="1:15">
      <c r="A17" s="221" t="s">
        <v>55</v>
      </c>
      <c r="B17" s="222" t="s">
        <v>56</v>
      </c>
      <c r="C17" s="78">
        <v>0</v>
      </c>
      <c r="D17" s="139"/>
      <c r="E17" s="139"/>
      <c r="F17" s="99">
        <v>0</v>
      </c>
      <c r="G17" s="99" t="e">
        <f t="shared" si="0"/>
        <v>#DIV/0!</v>
      </c>
      <c r="H17" s="96"/>
      <c r="I17" s="86"/>
      <c r="J17" s="86"/>
      <c r="K17" s="86"/>
      <c r="L17" s="86"/>
      <c r="M17" s="87"/>
      <c r="N17" s="87"/>
      <c r="O17" s="87"/>
    </row>
    <row r="18" spans="1:15">
      <c r="A18" s="221" t="s">
        <v>57</v>
      </c>
      <c r="B18" s="222" t="s">
        <v>58</v>
      </c>
      <c r="C18" s="78">
        <f>116943+77259</f>
        <v>194202</v>
      </c>
      <c r="D18" s="139"/>
      <c r="E18" s="139"/>
      <c r="F18" s="78">
        <v>63727.45</v>
      </c>
      <c r="G18" s="78">
        <f t="shared" si="0"/>
        <v>32.815032800898</v>
      </c>
      <c r="H18" s="96"/>
      <c r="I18" s="86"/>
      <c r="J18" s="86"/>
      <c r="K18" s="86"/>
      <c r="L18" s="86"/>
      <c r="M18" s="87"/>
      <c r="N18" s="87"/>
      <c r="O18" s="87"/>
    </row>
    <row r="19" spans="1:15">
      <c r="A19" s="221" t="s">
        <v>59</v>
      </c>
      <c r="B19" s="222" t="s">
        <v>60</v>
      </c>
      <c r="C19" s="78">
        <v>8584</v>
      </c>
      <c r="D19" s="139"/>
      <c r="E19" s="139"/>
      <c r="F19" s="78">
        <v>0</v>
      </c>
      <c r="G19" s="78">
        <f t="shared" si="0"/>
        <v>0</v>
      </c>
      <c r="H19" s="96"/>
      <c r="I19" s="86"/>
      <c r="J19" s="86"/>
      <c r="K19" s="86"/>
      <c r="L19" s="86"/>
      <c r="M19" s="87"/>
      <c r="N19" s="87"/>
      <c r="O19" s="87"/>
    </row>
    <row r="20" spans="1:15">
      <c r="A20" s="219" t="s">
        <v>61</v>
      </c>
      <c r="B20" s="220" t="s">
        <v>62</v>
      </c>
      <c r="C20" s="96">
        <f>+C21+C22</f>
        <v>0</v>
      </c>
      <c r="D20" s="137"/>
      <c r="E20" s="137"/>
      <c r="F20" s="96">
        <f>+F21+F22</f>
        <v>0</v>
      </c>
      <c r="G20" s="96" t="e">
        <f t="shared" si="0"/>
        <v>#DIV/0!</v>
      </c>
      <c r="H20" s="96"/>
      <c r="I20" s="87"/>
      <c r="J20" s="87"/>
      <c r="K20" s="87"/>
      <c r="L20" s="87"/>
      <c r="M20" s="87"/>
      <c r="N20" s="87"/>
      <c r="O20" s="87"/>
    </row>
    <row r="21" spans="1:15">
      <c r="A21" s="221" t="s">
        <v>63</v>
      </c>
      <c r="B21" s="222" t="s">
        <v>64</v>
      </c>
      <c r="C21" s="78">
        <v>0</v>
      </c>
      <c r="D21" s="139"/>
      <c r="E21" s="139"/>
      <c r="F21" s="78">
        <v>0</v>
      </c>
      <c r="G21" s="78" t="e">
        <f t="shared" si="0"/>
        <v>#DIV/0!</v>
      </c>
      <c r="H21" s="96"/>
      <c r="I21" s="86"/>
      <c r="J21" s="86"/>
      <c r="K21" s="86"/>
      <c r="L21" s="86"/>
      <c r="M21" s="87"/>
      <c r="N21" s="87"/>
      <c r="O21" s="87"/>
    </row>
    <row r="22" spans="1:15">
      <c r="A22" s="221" t="s">
        <v>65</v>
      </c>
      <c r="B22" s="222" t="s">
        <v>66</v>
      </c>
      <c r="C22" s="78">
        <v>0</v>
      </c>
      <c r="D22" s="139"/>
      <c r="E22" s="139"/>
      <c r="F22" s="99">
        <v>0</v>
      </c>
      <c r="G22" s="99" t="e">
        <f t="shared" si="0"/>
        <v>#DIV/0!</v>
      </c>
      <c r="H22" s="96"/>
      <c r="I22" s="86"/>
      <c r="J22" s="86"/>
      <c r="K22" s="86"/>
      <c r="L22" s="86"/>
      <c r="M22" s="87"/>
      <c r="N22" s="87"/>
      <c r="O22" s="87"/>
    </row>
    <row r="23" spans="1:15">
      <c r="A23" s="219" t="s">
        <v>67</v>
      </c>
      <c r="B23" s="220" t="s">
        <v>68</v>
      </c>
      <c r="C23" s="96">
        <f>+C24+C25</f>
        <v>17000</v>
      </c>
      <c r="D23" s="137"/>
      <c r="E23" s="137"/>
      <c r="F23" s="96">
        <f>+F24+F25</f>
        <v>12900</v>
      </c>
      <c r="G23" s="96">
        <f t="shared" si="0"/>
        <v>75.8823529411765</v>
      </c>
      <c r="H23" s="96"/>
      <c r="I23" s="87"/>
      <c r="J23" s="87"/>
      <c r="K23" s="87"/>
      <c r="L23" s="87"/>
      <c r="M23" s="87"/>
      <c r="N23" s="87"/>
      <c r="O23" s="87"/>
    </row>
    <row r="24" spans="1:15">
      <c r="A24" s="221" t="s">
        <v>69</v>
      </c>
      <c r="B24" s="222" t="s">
        <v>70</v>
      </c>
      <c r="C24" s="78">
        <v>1000</v>
      </c>
      <c r="D24" s="139"/>
      <c r="E24" s="139"/>
      <c r="F24" s="78">
        <v>12900</v>
      </c>
      <c r="G24" s="78">
        <f t="shared" si="0"/>
        <v>1290</v>
      </c>
      <c r="H24" s="96"/>
      <c r="I24" s="86"/>
      <c r="J24" s="86"/>
      <c r="K24" s="86"/>
      <c r="L24" s="86"/>
      <c r="M24" s="87"/>
      <c r="N24" s="87"/>
      <c r="O24" s="87"/>
    </row>
    <row r="25" ht="25.5" spans="1:15">
      <c r="A25" s="221" t="s">
        <v>71</v>
      </c>
      <c r="B25" s="222" t="s">
        <v>72</v>
      </c>
      <c r="C25" s="78">
        <v>16000</v>
      </c>
      <c r="D25" s="139"/>
      <c r="E25" s="139"/>
      <c r="F25" s="78">
        <v>0</v>
      </c>
      <c r="G25" s="78">
        <f t="shared" si="0"/>
        <v>0</v>
      </c>
      <c r="H25" s="96"/>
      <c r="I25" s="86"/>
      <c r="J25" s="86"/>
      <c r="K25" s="86"/>
      <c r="L25" s="86"/>
      <c r="M25" s="87"/>
      <c r="N25" s="87"/>
      <c r="O25" s="87"/>
    </row>
    <row r="26" spans="1:15">
      <c r="A26" s="219" t="s">
        <v>73</v>
      </c>
      <c r="B26" s="220" t="s">
        <v>74</v>
      </c>
      <c r="C26" s="96">
        <f>+C27+C28</f>
        <v>0</v>
      </c>
      <c r="D26" s="137"/>
      <c r="E26" s="137"/>
      <c r="F26" s="96">
        <f>+F27+F28</f>
        <v>17045.06</v>
      </c>
      <c r="G26" s="96" t="e">
        <f t="shared" si="0"/>
        <v>#DIV/0!</v>
      </c>
      <c r="H26" s="96"/>
      <c r="I26" s="87"/>
      <c r="J26" s="87"/>
      <c r="K26" s="87"/>
      <c r="L26" s="87"/>
      <c r="M26" s="87"/>
      <c r="N26" s="87"/>
      <c r="O26" s="87"/>
    </row>
    <row r="27" spans="1:15">
      <c r="A27" s="221" t="s">
        <v>75</v>
      </c>
      <c r="B27" s="222" t="s">
        <v>76</v>
      </c>
      <c r="C27" s="78">
        <v>0</v>
      </c>
      <c r="D27" s="139"/>
      <c r="E27" s="139"/>
      <c r="F27" s="78">
        <v>17045.06</v>
      </c>
      <c r="G27" s="78" t="e">
        <f t="shared" si="0"/>
        <v>#DIV/0!</v>
      </c>
      <c r="H27" s="96"/>
      <c r="I27" s="86"/>
      <c r="J27" s="86"/>
      <c r="K27" s="86"/>
      <c r="L27" s="86"/>
      <c r="M27" s="87"/>
      <c r="N27" s="87"/>
      <c r="O27" s="87"/>
    </row>
    <row r="28" spans="1:15">
      <c r="A28" s="221" t="s">
        <v>77</v>
      </c>
      <c r="B28" s="222" t="s">
        <v>78</v>
      </c>
      <c r="C28" s="99">
        <v>0</v>
      </c>
      <c r="D28" s="139"/>
      <c r="E28" s="139"/>
      <c r="F28" s="78">
        <v>0</v>
      </c>
      <c r="G28" s="78" t="e">
        <f t="shared" si="0"/>
        <v>#DIV/0!</v>
      </c>
      <c r="H28" s="96"/>
      <c r="I28" s="86"/>
      <c r="J28" s="86"/>
      <c r="K28" s="86"/>
      <c r="L28" s="86"/>
      <c r="M28" s="87"/>
      <c r="N28" s="87"/>
      <c r="O28" s="87"/>
    </row>
    <row r="29" spans="1:15">
      <c r="A29" s="219" t="s">
        <v>79</v>
      </c>
      <c r="B29" s="220" t="s">
        <v>80</v>
      </c>
      <c r="C29" s="96">
        <f>SUM(C30:C33)</f>
        <v>179455</v>
      </c>
      <c r="D29" s="137"/>
      <c r="E29" s="137"/>
      <c r="F29" s="96">
        <f>SUM(F30:F33)</f>
        <v>335316.84</v>
      </c>
      <c r="G29" s="96">
        <f t="shared" si="0"/>
        <v>186.852882338191</v>
      </c>
      <c r="H29" s="96"/>
      <c r="I29" s="87"/>
      <c r="J29" s="87"/>
      <c r="K29" s="87"/>
      <c r="L29" s="87"/>
      <c r="M29" s="87"/>
      <c r="N29" s="87"/>
      <c r="O29" s="87"/>
    </row>
    <row r="30" spans="1:15">
      <c r="A30" s="221" t="s">
        <v>81</v>
      </c>
      <c r="B30" s="222" t="s">
        <v>82</v>
      </c>
      <c r="C30" s="78">
        <v>0</v>
      </c>
      <c r="D30" s="137"/>
      <c r="E30" s="137"/>
      <c r="F30" s="78">
        <v>39263.36</v>
      </c>
      <c r="G30" s="78" t="e">
        <f t="shared" si="0"/>
        <v>#DIV/0!</v>
      </c>
      <c r="H30" s="96"/>
      <c r="I30" s="87"/>
      <c r="J30" s="87"/>
      <c r="K30" s="87"/>
      <c r="L30" s="87"/>
      <c r="M30" s="87"/>
      <c r="N30" s="87"/>
      <c r="O30" s="87"/>
    </row>
    <row r="31" spans="1:15">
      <c r="A31" s="221" t="s">
        <v>83</v>
      </c>
      <c r="B31" s="222" t="s">
        <v>84</v>
      </c>
      <c r="C31" s="78">
        <v>0</v>
      </c>
      <c r="D31" s="137"/>
      <c r="E31" s="137"/>
      <c r="F31" s="78">
        <v>0</v>
      </c>
      <c r="G31" s="78" t="e">
        <f t="shared" si="0"/>
        <v>#DIV/0!</v>
      </c>
      <c r="H31" s="96"/>
      <c r="I31" s="87"/>
      <c r="J31" s="87"/>
      <c r="K31" s="87"/>
      <c r="L31" s="87"/>
      <c r="M31" s="87"/>
      <c r="N31" s="87"/>
      <c r="O31" s="87"/>
    </row>
    <row r="32" ht="25.5" spans="1:15">
      <c r="A32" s="221" t="s">
        <v>85</v>
      </c>
      <c r="B32" s="222" t="s">
        <v>86</v>
      </c>
      <c r="C32" s="78">
        <v>179455</v>
      </c>
      <c r="D32" s="137"/>
      <c r="E32" s="137"/>
      <c r="F32" s="78">
        <v>296053.48</v>
      </c>
      <c r="G32" s="78">
        <f t="shared" si="0"/>
        <v>164.973659134602</v>
      </c>
      <c r="H32" s="96"/>
      <c r="I32" s="87"/>
      <c r="J32" s="87"/>
      <c r="K32" s="87"/>
      <c r="L32" s="87"/>
      <c r="M32" s="87"/>
      <c r="N32" s="87"/>
      <c r="O32" s="87"/>
    </row>
    <row r="33" ht="25.5" spans="1:15">
      <c r="A33" s="221" t="s">
        <v>87</v>
      </c>
      <c r="B33" s="222" t="s">
        <v>88</v>
      </c>
      <c r="C33" s="78">
        <v>0</v>
      </c>
      <c r="D33" s="137"/>
      <c r="E33" s="137"/>
      <c r="F33" s="78">
        <v>0</v>
      </c>
      <c r="G33" s="78" t="e">
        <f t="shared" si="0"/>
        <v>#DIV/0!</v>
      </c>
      <c r="H33" s="96"/>
      <c r="I33" s="87"/>
      <c r="J33" s="87"/>
      <c r="K33" s="87"/>
      <c r="L33" s="87"/>
      <c r="M33" s="87"/>
      <c r="N33" s="87"/>
      <c r="O33" s="87"/>
    </row>
    <row r="34" spans="1:15">
      <c r="A34" s="217" t="s">
        <v>89</v>
      </c>
      <c r="B34" s="218" t="s">
        <v>90</v>
      </c>
      <c r="C34" s="96">
        <f>+C35+C42</f>
        <v>9</v>
      </c>
      <c r="D34" s="79">
        <v>0</v>
      </c>
      <c r="E34" s="79">
        <v>0</v>
      </c>
      <c r="F34" s="96">
        <f>+F35+F42</f>
        <v>0</v>
      </c>
      <c r="G34" s="96">
        <f t="shared" si="0"/>
        <v>0</v>
      </c>
      <c r="H34" s="96" t="e">
        <f>+F34/E34*100</f>
        <v>#DIV/0!</v>
      </c>
      <c r="I34" s="87"/>
      <c r="J34" s="87"/>
      <c r="K34" s="87"/>
      <c r="L34" s="87"/>
      <c r="M34" s="87"/>
      <c r="N34" s="87"/>
      <c r="O34" s="87"/>
    </row>
    <row r="35" spans="1:15">
      <c r="A35" s="219" t="s">
        <v>91</v>
      </c>
      <c r="B35" s="220" t="s">
        <v>92</v>
      </c>
      <c r="C35" s="96">
        <f>SUM(C36:C41)</f>
        <v>9</v>
      </c>
      <c r="D35" s="137"/>
      <c r="E35" s="137"/>
      <c r="F35" s="96">
        <f>SUM(F36:F41)</f>
        <v>0</v>
      </c>
      <c r="G35" s="96">
        <f t="shared" si="0"/>
        <v>0</v>
      </c>
      <c r="H35" s="96"/>
      <c r="I35" s="87"/>
      <c r="J35" s="87"/>
      <c r="K35" s="87"/>
      <c r="L35" s="87"/>
      <c r="M35" s="87"/>
      <c r="N35" s="87"/>
      <c r="O35" s="87"/>
    </row>
    <row r="36" spans="1:15">
      <c r="A36" s="221" t="s">
        <v>93</v>
      </c>
      <c r="B36" s="222" t="s">
        <v>94</v>
      </c>
      <c r="C36" s="78">
        <v>0</v>
      </c>
      <c r="D36" s="137"/>
      <c r="E36" s="137"/>
      <c r="F36" s="78">
        <v>0</v>
      </c>
      <c r="G36" s="78" t="e">
        <f t="shared" si="0"/>
        <v>#DIV/0!</v>
      </c>
      <c r="H36" s="96"/>
      <c r="I36" s="87"/>
      <c r="J36" s="87"/>
      <c r="K36" s="87"/>
      <c r="L36" s="87"/>
      <c r="M36" s="87"/>
      <c r="N36" s="87"/>
      <c r="O36" s="87"/>
    </row>
    <row r="37" spans="1:15">
      <c r="A37" s="221" t="s">
        <v>95</v>
      </c>
      <c r="B37" s="222" t="s">
        <v>96</v>
      </c>
      <c r="C37" s="78">
        <v>0</v>
      </c>
      <c r="D37" s="137"/>
      <c r="E37" s="137"/>
      <c r="F37" s="78">
        <v>0</v>
      </c>
      <c r="G37" s="78" t="e">
        <f t="shared" si="0"/>
        <v>#DIV/0!</v>
      </c>
      <c r="H37" s="96"/>
      <c r="I37" s="87"/>
      <c r="J37" s="87"/>
      <c r="K37" s="87"/>
      <c r="L37" s="87"/>
      <c r="M37" s="87"/>
      <c r="N37" s="87"/>
      <c r="O37" s="87"/>
    </row>
    <row r="38" ht="25.5" spans="1:15">
      <c r="A38" s="221" t="s">
        <v>97</v>
      </c>
      <c r="B38" s="222" t="s">
        <v>98</v>
      </c>
      <c r="C38" s="78">
        <v>9</v>
      </c>
      <c r="D38" s="137"/>
      <c r="E38" s="137"/>
      <c r="F38" s="78">
        <v>0</v>
      </c>
      <c r="G38" s="78">
        <f t="shared" si="0"/>
        <v>0</v>
      </c>
      <c r="H38" s="96"/>
      <c r="I38" s="87"/>
      <c r="J38" s="87"/>
      <c r="K38" s="87"/>
      <c r="L38" s="87"/>
      <c r="M38" s="87"/>
      <c r="N38" s="87"/>
      <c r="O38" s="87"/>
    </row>
    <row r="39" spans="1:15">
      <c r="A39" s="221" t="s">
        <v>99</v>
      </c>
      <c r="B39" s="222" t="s">
        <v>100</v>
      </c>
      <c r="C39" s="78">
        <v>0</v>
      </c>
      <c r="D39" s="137"/>
      <c r="E39" s="137"/>
      <c r="F39" s="78">
        <v>0</v>
      </c>
      <c r="G39" s="78" t="e">
        <f t="shared" si="0"/>
        <v>#DIV/0!</v>
      </c>
      <c r="H39" s="96"/>
      <c r="I39" s="87"/>
      <c r="J39" s="87"/>
      <c r="K39" s="87"/>
      <c r="L39" s="87"/>
      <c r="M39" s="87"/>
      <c r="N39" s="87"/>
      <c r="O39" s="87"/>
    </row>
    <row r="40" ht="25.5" spans="1:15">
      <c r="A40" s="221" t="s">
        <v>101</v>
      </c>
      <c r="B40" s="222" t="s">
        <v>102</v>
      </c>
      <c r="C40" s="78">
        <v>0</v>
      </c>
      <c r="D40" s="137"/>
      <c r="E40" s="137"/>
      <c r="F40" s="78">
        <v>0</v>
      </c>
      <c r="G40" s="78" t="e">
        <f t="shared" si="0"/>
        <v>#DIV/0!</v>
      </c>
      <c r="H40" s="96"/>
      <c r="I40" s="87"/>
      <c r="J40" s="87"/>
      <c r="K40" s="87"/>
      <c r="L40" s="87"/>
      <c r="M40" s="87"/>
      <c r="N40" s="87"/>
      <c r="O40" s="87"/>
    </row>
    <row r="41" spans="1:15">
      <c r="A41" s="221" t="s">
        <v>103</v>
      </c>
      <c r="B41" s="222" t="s">
        <v>104</v>
      </c>
      <c r="C41" s="78">
        <v>0</v>
      </c>
      <c r="D41" s="137"/>
      <c r="E41" s="137"/>
      <c r="F41" s="78"/>
      <c r="G41" s="78" t="e">
        <f t="shared" si="0"/>
        <v>#DIV/0!</v>
      </c>
      <c r="H41" s="96"/>
      <c r="I41" s="87"/>
      <c r="J41" s="87"/>
      <c r="K41" s="87"/>
      <c r="L41" s="87"/>
      <c r="M41" s="87"/>
      <c r="N41" s="87"/>
      <c r="O41" s="87"/>
    </row>
    <row r="42" spans="1:15">
      <c r="A42" s="219" t="s">
        <v>105</v>
      </c>
      <c r="B42" s="220" t="s">
        <v>106</v>
      </c>
      <c r="C42" s="96">
        <f>+C43+C44</f>
        <v>0</v>
      </c>
      <c r="D42" s="137"/>
      <c r="E42" s="137"/>
      <c r="F42" s="96">
        <f>+F43+F44</f>
        <v>0</v>
      </c>
      <c r="G42" s="96" t="e">
        <f t="shared" si="0"/>
        <v>#DIV/0!</v>
      </c>
      <c r="H42" s="96"/>
      <c r="I42" s="87"/>
      <c r="J42" s="87"/>
      <c r="K42" s="87"/>
      <c r="L42" s="87"/>
      <c r="M42" s="87"/>
      <c r="N42" s="87"/>
      <c r="O42" s="87"/>
    </row>
    <row r="43" spans="1:15">
      <c r="A43" s="221" t="s">
        <v>107</v>
      </c>
      <c r="B43" s="222" t="s">
        <v>108</v>
      </c>
      <c r="C43" s="78">
        <v>0</v>
      </c>
      <c r="D43" s="137"/>
      <c r="E43" s="137"/>
      <c r="F43" s="78">
        <v>0</v>
      </c>
      <c r="G43" s="78" t="e">
        <f t="shared" si="0"/>
        <v>#DIV/0!</v>
      </c>
      <c r="H43" s="96"/>
      <c r="I43" s="87"/>
      <c r="J43" s="87"/>
      <c r="K43" s="87"/>
      <c r="L43" s="87"/>
      <c r="M43" s="87"/>
      <c r="N43" s="87"/>
      <c r="O43" s="87"/>
    </row>
    <row r="44" spans="1:15">
      <c r="A44" s="221" t="s">
        <v>109</v>
      </c>
      <c r="B44" s="222" t="s">
        <v>110</v>
      </c>
      <c r="C44" s="78">
        <v>0</v>
      </c>
      <c r="D44" s="137"/>
      <c r="E44" s="137"/>
      <c r="F44" s="78">
        <v>0</v>
      </c>
      <c r="G44" s="78" t="e">
        <f t="shared" si="0"/>
        <v>#DIV/0!</v>
      </c>
      <c r="H44" s="96"/>
      <c r="I44" s="87"/>
      <c r="J44" s="87"/>
      <c r="K44" s="87"/>
      <c r="L44" s="87"/>
      <c r="M44" s="87"/>
      <c r="N44" s="87"/>
      <c r="O44" s="87"/>
    </row>
    <row r="45" ht="25.5" spans="1:15">
      <c r="A45" s="217" t="s">
        <v>111</v>
      </c>
      <c r="B45" s="218" t="s">
        <v>112</v>
      </c>
      <c r="C45" s="96">
        <f>+C46+C48</f>
        <v>109902</v>
      </c>
      <c r="D45" s="79">
        <v>888347</v>
      </c>
      <c r="E45" s="79">
        <v>888347</v>
      </c>
      <c r="F45" s="96">
        <f>+F46+F48</f>
        <v>110968.95</v>
      </c>
      <c r="G45" s="96">
        <f t="shared" si="0"/>
        <v>100.970819457335</v>
      </c>
      <c r="H45" s="96">
        <f>+F45/E45*100</f>
        <v>12.4916220801106</v>
      </c>
      <c r="I45" s="87"/>
      <c r="J45" s="87"/>
      <c r="K45" s="87"/>
      <c r="L45" s="87"/>
      <c r="M45" s="87"/>
      <c r="N45" s="87"/>
      <c r="O45" s="87"/>
    </row>
    <row r="46" spans="1:15">
      <c r="A46" s="219" t="s">
        <v>113</v>
      </c>
      <c r="B46" s="220" t="s">
        <v>114</v>
      </c>
      <c r="C46" s="96">
        <f>+C47</f>
        <v>0</v>
      </c>
      <c r="D46" s="137"/>
      <c r="E46" s="137"/>
      <c r="F46" s="96">
        <f>+F47</f>
        <v>0</v>
      </c>
      <c r="G46" s="96" t="e">
        <f t="shared" si="0"/>
        <v>#DIV/0!</v>
      </c>
      <c r="H46" s="96"/>
      <c r="I46" s="87"/>
      <c r="J46" s="87"/>
      <c r="K46" s="87"/>
      <c r="L46" s="87"/>
      <c r="M46" s="87"/>
      <c r="N46" s="87"/>
      <c r="O46" s="87"/>
    </row>
    <row r="47" spans="1:15">
      <c r="A47" s="221" t="s">
        <v>115</v>
      </c>
      <c r="B47" s="222" t="s">
        <v>116</v>
      </c>
      <c r="C47" s="78">
        <v>0</v>
      </c>
      <c r="D47" s="137"/>
      <c r="E47" s="137"/>
      <c r="F47" s="78">
        <v>0</v>
      </c>
      <c r="G47" s="78" t="e">
        <f t="shared" si="0"/>
        <v>#DIV/0!</v>
      </c>
      <c r="H47" s="96"/>
      <c r="I47" s="87"/>
      <c r="J47" s="87"/>
      <c r="K47" s="87"/>
      <c r="L47" s="87"/>
      <c r="M47" s="87"/>
      <c r="N47" s="87"/>
      <c r="O47" s="87"/>
    </row>
    <row r="48" spans="1:15">
      <c r="A48" s="219" t="s">
        <v>117</v>
      </c>
      <c r="B48" s="220" t="s">
        <v>118</v>
      </c>
      <c r="C48" s="96">
        <f>+C49+C50</f>
        <v>109902</v>
      </c>
      <c r="D48" s="137"/>
      <c r="E48" s="137"/>
      <c r="F48" s="96">
        <f>+F49+F50</f>
        <v>110968.95</v>
      </c>
      <c r="G48" s="96">
        <f t="shared" si="0"/>
        <v>100.970819457335</v>
      </c>
      <c r="H48" s="96"/>
      <c r="I48" s="87"/>
      <c r="J48" s="87"/>
      <c r="K48" s="87"/>
      <c r="L48" s="87"/>
      <c r="M48" s="87"/>
      <c r="N48" s="87"/>
      <c r="O48" s="87"/>
    </row>
    <row r="49" spans="1:15">
      <c r="A49" s="221" t="s">
        <v>119</v>
      </c>
      <c r="B49" s="222" t="s">
        <v>120</v>
      </c>
      <c r="C49" s="78">
        <v>0</v>
      </c>
      <c r="D49" s="137"/>
      <c r="E49" s="137"/>
      <c r="F49" s="78">
        <v>0</v>
      </c>
      <c r="G49" s="78" t="e">
        <f t="shared" si="0"/>
        <v>#DIV/0!</v>
      </c>
      <c r="H49" s="96"/>
      <c r="I49" s="87"/>
      <c r="J49" s="87"/>
      <c r="K49" s="87"/>
      <c r="L49" s="87"/>
      <c r="M49" s="87"/>
      <c r="N49" s="87"/>
      <c r="O49" s="87"/>
    </row>
    <row r="50" spans="1:15">
      <c r="A50" s="221" t="s">
        <v>121</v>
      </c>
      <c r="B50" s="222" t="s">
        <v>122</v>
      </c>
      <c r="C50" s="78">
        <v>109902</v>
      </c>
      <c r="D50" s="137"/>
      <c r="E50" s="137"/>
      <c r="F50" s="78">
        <v>110968.95</v>
      </c>
      <c r="G50" s="78">
        <f t="shared" si="0"/>
        <v>100.970819457335</v>
      </c>
      <c r="H50" s="96"/>
      <c r="I50" s="87"/>
      <c r="J50" s="87"/>
      <c r="K50" s="87"/>
      <c r="L50" s="87"/>
      <c r="M50" s="87"/>
      <c r="N50" s="87"/>
      <c r="O50" s="87"/>
    </row>
    <row r="51" ht="25.5" spans="1:15">
      <c r="A51" s="217" t="s">
        <v>123</v>
      </c>
      <c r="B51" s="218" t="s">
        <v>124</v>
      </c>
      <c r="C51" s="96">
        <f>+C52+C55</f>
        <v>533158</v>
      </c>
      <c r="D51" s="79">
        <v>750073</v>
      </c>
      <c r="E51" s="79">
        <v>750073</v>
      </c>
      <c r="F51" s="96">
        <f>+F52+F55</f>
        <v>272955.4</v>
      </c>
      <c r="G51" s="96">
        <f t="shared" si="0"/>
        <v>51.1959681745374</v>
      </c>
      <c r="H51" s="96">
        <f>+F51/E51*100</f>
        <v>36.3905113235645</v>
      </c>
      <c r="I51" s="87"/>
      <c r="J51" s="87"/>
      <c r="K51" s="87"/>
      <c r="L51" s="87"/>
      <c r="M51" s="87"/>
      <c r="N51" s="87"/>
      <c r="O51" s="87"/>
    </row>
    <row r="52" spans="1:15">
      <c r="A52" s="219" t="s">
        <v>125</v>
      </c>
      <c r="B52" s="220" t="s">
        <v>126</v>
      </c>
      <c r="C52" s="96">
        <f>+C53+C54</f>
        <v>462283</v>
      </c>
      <c r="D52" s="137"/>
      <c r="E52" s="137"/>
      <c r="F52" s="96">
        <f>+F53+F54</f>
        <v>220937.36</v>
      </c>
      <c r="G52" s="96">
        <f t="shared" si="0"/>
        <v>47.7926638011781</v>
      </c>
      <c r="H52" s="96"/>
      <c r="I52" s="87"/>
      <c r="J52" s="87"/>
      <c r="K52" s="87"/>
      <c r="L52" s="87"/>
      <c r="M52" s="87"/>
      <c r="N52" s="87"/>
      <c r="O52" s="87"/>
    </row>
    <row r="53" spans="1:15">
      <c r="A53" s="221" t="s">
        <v>127</v>
      </c>
      <c r="B53" s="222" t="s">
        <v>128</v>
      </c>
      <c r="C53" s="78">
        <v>2080</v>
      </c>
      <c r="D53" s="137"/>
      <c r="E53" s="137"/>
      <c r="F53" s="78">
        <v>2260.12</v>
      </c>
      <c r="G53" s="78">
        <f t="shared" si="0"/>
        <v>108.659615384615</v>
      </c>
      <c r="H53" s="96"/>
      <c r="I53" s="87"/>
      <c r="J53" s="87"/>
      <c r="K53" s="87"/>
      <c r="L53" s="87"/>
      <c r="M53" s="87"/>
      <c r="N53" s="87"/>
      <c r="O53" s="87"/>
    </row>
    <row r="54" spans="1:15">
      <c r="A54" s="221" t="s">
        <v>129</v>
      </c>
      <c r="B54" s="222" t="s">
        <v>130</v>
      </c>
      <c r="C54" s="78">
        <v>460203</v>
      </c>
      <c r="D54" s="137"/>
      <c r="E54" s="137"/>
      <c r="F54" s="78">
        <v>218677.24</v>
      </c>
      <c r="G54" s="78">
        <f t="shared" si="0"/>
        <v>47.517560728635</v>
      </c>
      <c r="H54" s="96"/>
      <c r="I54" s="87"/>
      <c r="J54" s="87"/>
      <c r="K54" s="87"/>
      <c r="L54" s="87"/>
      <c r="M54" s="87"/>
      <c r="N54" s="87"/>
      <c r="O54" s="87"/>
    </row>
    <row r="55" spans="1:15">
      <c r="A55" s="219" t="s">
        <v>131</v>
      </c>
      <c r="B55" s="220" t="s">
        <v>132</v>
      </c>
      <c r="C55" s="96">
        <f>+C56+C57</f>
        <v>70875</v>
      </c>
      <c r="D55" s="137"/>
      <c r="E55" s="137"/>
      <c r="F55" s="96">
        <f>+F56+F57</f>
        <v>52018.04</v>
      </c>
      <c r="G55" s="96">
        <f t="shared" si="0"/>
        <v>73.3940599647266</v>
      </c>
      <c r="H55" s="96"/>
      <c r="I55" s="87"/>
      <c r="J55" s="87"/>
      <c r="K55" s="87"/>
      <c r="L55" s="87"/>
      <c r="M55" s="87"/>
      <c r="N55" s="87"/>
      <c r="O55" s="87"/>
    </row>
    <row r="56" spans="1:15">
      <c r="A56" s="221" t="s">
        <v>133</v>
      </c>
      <c r="B56" s="222" t="s">
        <v>134</v>
      </c>
      <c r="C56" s="78">
        <v>70875</v>
      </c>
      <c r="D56" s="137"/>
      <c r="E56" s="137"/>
      <c r="F56" s="78">
        <v>52018.04</v>
      </c>
      <c r="G56" s="78">
        <f t="shared" si="0"/>
        <v>73.3940599647266</v>
      </c>
      <c r="H56" s="96"/>
      <c r="I56" s="87"/>
      <c r="J56" s="87"/>
      <c r="K56" s="87"/>
      <c r="L56" s="87"/>
      <c r="M56" s="87"/>
      <c r="N56" s="87"/>
      <c r="O56" s="87"/>
    </row>
    <row r="57" spans="1:15">
      <c r="A57" s="221" t="s">
        <v>135</v>
      </c>
      <c r="B57" s="222" t="s">
        <v>136</v>
      </c>
      <c r="C57" s="78">
        <v>0</v>
      </c>
      <c r="D57" s="137"/>
      <c r="E57" s="137"/>
      <c r="F57" s="78">
        <v>0</v>
      </c>
      <c r="G57" s="78" t="e">
        <f t="shared" si="0"/>
        <v>#DIV/0!</v>
      </c>
      <c r="H57" s="96"/>
      <c r="I57" s="87"/>
      <c r="J57" s="87"/>
      <c r="K57" s="87"/>
      <c r="L57" s="87"/>
      <c r="M57" s="87"/>
      <c r="N57" s="87"/>
      <c r="O57" s="87"/>
    </row>
    <row r="58" spans="1:15">
      <c r="A58" s="134">
        <v>67</v>
      </c>
      <c r="B58" s="218" t="s">
        <v>137</v>
      </c>
      <c r="C58" s="96">
        <f>+C59+C63</f>
        <v>2658455</v>
      </c>
      <c r="D58" s="79">
        <v>5189589</v>
      </c>
      <c r="E58" s="79">
        <v>5189589</v>
      </c>
      <c r="F58" s="96">
        <f>+F59+F63</f>
        <v>3132277.32</v>
      </c>
      <c r="G58" s="96">
        <f t="shared" si="0"/>
        <v>117.823221382344</v>
      </c>
      <c r="H58" s="96">
        <f>+F58/E58*100</f>
        <v>60.35694387359</v>
      </c>
      <c r="I58" s="87"/>
      <c r="J58" s="87"/>
      <c r="K58" s="87"/>
      <c r="L58" s="87"/>
      <c r="M58" s="87"/>
      <c r="N58" s="87"/>
      <c r="O58" s="87"/>
    </row>
    <row r="59" spans="1:15">
      <c r="A59" s="136">
        <v>671</v>
      </c>
      <c r="B59" s="220" t="s">
        <v>137</v>
      </c>
      <c r="C59" s="96">
        <f>+C60+C61+C62</f>
        <v>2658455</v>
      </c>
      <c r="D59" s="137"/>
      <c r="E59" s="137"/>
      <c r="F59" s="96">
        <f>+F60+F61+F62</f>
        <v>3132277.32</v>
      </c>
      <c r="G59" s="96">
        <f t="shared" si="0"/>
        <v>117.823221382344</v>
      </c>
      <c r="H59" s="96"/>
      <c r="I59" s="87"/>
      <c r="J59" s="87"/>
      <c r="K59" s="87"/>
      <c r="L59" s="87"/>
      <c r="M59" s="87"/>
      <c r="N59" s="87"/>
      <c r="O59" s="87"/>
    </row>
    <row r="60" spans="1:15">
      <c r="A60" s="150">
        <v>3711</v>
      </c>
      <c r="B60" s="222" t="s">
        <v>138</v>
      </c>
      <c r="C60" s="78">
        <v>2643306</v>
      </c>
      <c r="D60" s="137"/>
      <c r="E60" s="137"/>
      <c r="F60" s="78">
        <v>3132277.32</v>
      </c>
      <c r="G60" s="78">
        <f t="shared" si="0"/>
        <v>118.498475772385</v>
      </c>
      <c r="H60" s="96"/>
      <c r="I60" s="87"/>
      <c r="J60" s="87"/>
      <c r="K60" s="87"/>
      <c r="L60" s="87"/>
      <c r="M60" s="87"/>
      <c r="N60" s="87"/>
      <c r="O60" s="87"/>
    </row>
    <row r="61" spans="1:15">
      <c r="A61" s="150">
        <v>3712</v>
      </c>
      <c r="B61" s="222" t="s">
        <v>138</v>
      </c>
      <c r="C61" s="78">
        <v>15149</v>
      </c>
      <c r="D61" s="137"/>
      <c r="E61" s="137"/>
      <c r="F61" s="78">
        <v>0</v>
      </c>
      <c r="G61" s="78">
        <f t="shared" si="0"/>
        <v>0</v>
      </c>
      <c r="H61" s="96"/>
      <c r="I61" s="87"/>
      <c r="J61" s="87"/>
      <c r="K61" s="87"/>
      <c r="L61" s="87"/>
      <c r="M61" s="87"/>
      <c r="N61" s="87"/>
      <c r="O61" s="87"/>
    </row>
    <row r="62" spans="1:15">
      <c r="A62" s="150">
        <v>3714</v>
      </c>
      <c r="B62" s="222" t="s">
        <v>139</v>
      </c>
      <c r="C62" s="78">
        <v>0</v>
      </c>
      <c r="D62" s="137"/>
      <c r="E62" s="137"/>
      <c r="F62" s="78">
        <v>0</v>
      </c>
      <c r="G62" s="78" t="e">
        <f t="shared" si="0"/>
        <v>#DIV/0!</v>
      </c>
      <c r="H62" s="96"/>
      <c r="I62" s="87"/>
      <c r="J62" s="87"/>
      <c r="K62" s="87"/>
      <c r="L62" s="87"/>
      <c r="M62" s="87"/>
      <c r="N62" s="87"/>
      <c r="O62" s="87"/>
    </row>
    <row r="63" spans="1:15">
      <c r="A63" s="136">
        <v>673</v>
      </c>
      <c r="B63" s="220" t="s">
        <v>140</v>
      </c>
      <c r="C63" s="96">
        <f>+C64</f>
        <v>0</v>
      </c>
      <c r="D63" s="137"/>
      <c r="E63" s="137"/>
      <c r="F63" s="96">
        <f>+F64</f>
        <v>0</v>
      </c>
      <c r="G63" s="96" t="e">
        <f t="shared" si="0"/>
        <v>#DIV/0!</v>
      </c>
      <c r="H63" s="96"/>
      <c r="I63" s="87"/>
      <c r="J63" s="87"/>
      <c r="K63" s="87"/>
      <c r="L63" s="87"/>
      <c r="M63" s="87"/>
      <c r="N63" s="87"/>
      <c r="O63" s="87"/>
    </row>
    <row r="64" spans="1:15">
      <c r="A64" s="150">
        <v>6731</v>
      </c>
      <c r="B64" s="222" t="s">
        <v>140</v>
      </c>
      <c r="C64" s="78">
        <v>0</v>
      </c>
      <c r="D64" s="137"/>
      <c r="E64" s="137"/>
      <c r="F64" s="78">
        <v>0</v>
      </c>
      <c r="G64" s="78" t="e">
        <f t="shared" si="0"/>
        <v>#DIV/0!</v>
      </c>
      <c r="H64" s="96"/>
      <c r="I64" s="87"/>
      <c r="J64" s="87"/>
      <c r="K64" s="87"/>
      <c r="L64" s="87"/>
      <c r="M64" s="87"/>
      <c r="N64" s="87"/>
      <c r="O64" s="87"/>
    </row>
    <row r="65" spans="1:15">
      <c r="A65" s="217" t="s">
        <v>141</v>
      </c>
      <c r="B65" s="218" t="s">
        <v>142</v>
      </c>
      <c r="C65" s="96">
        <f>+C66+C68</f>
        <v>0</v>
      </c>
      <c r="D65" s="79">
        <v>0</v>
      </c>
      <c r="E65" s="79">
        <v>0</v>
      </c>
      <c r="F65" s="96">
        <f>+F66+F68</f>
        <v>0</v>
      </c>
      <c r="G65" s="96" t="e">
        <f t="shared" si="0"/>
        <v>#DIV/0!</v>
      </c>
      <c r="H65" s="96" t="e">
        <f>+F65/E65*100</f>
        <v>#DIV/0!</v>
      </c>
      <c r="I65" s="87"/>
      <c r="J65" s="87"/>
      <c r="K65" s="87"/>
      <c r="L65" s="87"/>
      <c r="M65" s="87"/>
      <c r="N65" s="87"/>
      <c r="O65" s="87"/>
    </row>
    <row r="66" spans="1:15">
      <c r="A66" s="219" t="s">
        <v>143</v>
      </c>
      <c r="B66" s="220" t="s">
        <v>144</v>
      </c>
      <c r="C66" s="96">
        <f>+C67</f>
        <v>0</v>
      </c>
      <c r="D66" s="137"/>
      <c r="E66" s="137"/>
      <c r="F66" s="96">
        <f>+F67</f>
        <v>0</v>
      </c>
      <c r="G66" s="96" t="e">
        <f t="shared" si="0"/>
        <v>#DIV/0!</v>
      </c>
      <c r="H66" s="96"/>
      <c r="I66" s="87"/>
      <c r="J66" s="87"/>
      <c r="K66" s="87"/>
      <c r="L66" s="87"/>
      <c r="M66" s="87"/>
      <c r="N66" s="87"/>
      <c r="O66" s="87"/>
    </row>
    <row r="67" spans="1:15">
      <c r="A67" s="221" t="s">
        <v>145</v>
      </c>
      <c r="B67" s="222" t="s">
        <v>146</v>
      </c>
      <c r="C67" s="78">
        <v>0</v>
      </c>
      <c r="D67" s="137"/>
      <c r="E67" s="137"/>
      <c r="F67" s="78">
        <v>0</v>
      </c>
      <c r="G67" s="78" t="e">
        <f t="shared" si="0"/>
        <v>#DIV/0!</v>
      </c>
      <c r="H67" s="96"/>
      <c r="I67" s="87"/>
      <c r="J67" s="87"/>
      <c r="K67" s="87"/>
      <c r="L67" s="87"/>
      <c r="M67" s="87"/>
      <c r="N67" s="87"/>
      <c r="O67" s="87"/>
    </row>
    <row r="68" spans="1:15">
      <c r="A68" s="219" t="s">
        <v>147</v>
      </c>
      <c r="B68" s="220" t="s">
        <v>148</v>
      </c>
      <c r="C68" s="96">
        <f>+C69</f>
        <v>0</v>
      </c>
      <c r="D68" s="137"/>
      <c r="E68" s="137"/>
      <c r="F68" s="96">
        <f>+F69</f>
        <v>0</v>
      </c>
      <c r="G68" s="96" t="e">
        <f t="shared" si="0"/>
        <v>#DIV/0!</v>
      </c>
      <c r="H68" s="96"/>
      <c r="I68" s="87"/>
      <c r="J68" s="87"/>
      <c r="K68" s="87"/>
      <c r="L68" s="87"/>
      <c r="M68" s="87"/>
      <c r="N68" s="87"/>
      <c r="O68" s="87"/>
    </row>
    <row r="69" spans="1:15">
      <c r="A69" s="221" t="s">
        <v>149</v>
      </c>
      <c r="B69" s="222" t="s">
        <v>148</v>
      </c>
      <c r="C69" s="78">
        <v>0</v>
      </c>
      <c r="D69" s="137"/>
      <c r="E69" s="137"/>
      <c r="F69" s="78">
        <v>0</v>
      </c>
      <c r="G69" s="78" t="e">
        <f t="shared" si="0"/>
        <v>#DIV/0!</v>
      </c>
      <c r="H69" s="96"/>
      <c r="I69" s="87"/>
      <c r="J69" s="87"/>
      <c r="K69" s="87"/>
      <c r="L69" s="87"/>
      <c r="M69" s="87"/>
      <c r="N69" s="87"/>
      <c r="O69" s="87"/>
    </row>
    <row r="70" spans="1:15">
      <c r="A70" s="215" t="s">
        <v>150</v>
      </c>
      <c r="B70" s="216" t="s">
        <v>151</v>
      </c>
      <c r="C70" s="132">
        <f>+C71+C76</f>
        <v>7503</v>
      </c>
      <c r="D70" s="133">
        <f>+D71+D76</f>
        <v>350</v>
      </c>
      <c r="E70" s="133">
        <f>+E71+E76</f>
        <v>350</v>
      </c>
      <c r="F70" s="132">
        <f>+F71+F76</f>
        <v>330.5</v>
      </c>
      <c r="G70" s="106">
        <f t="shared" si="0"/>
        <v>4.40490470478475</v>
      </c>
      <c r="H70" s="106">
        <f>+F70/E70*100</f>
        <v>94.4285714285714</v>
      </c>
      <c r="I70" s="103"/>
      <c r="J70" s="103"/>
      <c r="K70" s="103"/>
      <c r="L70" s="103"/>
      <c r="M70" s="103"/>
      <c r="N70" s="103"/>
      <c r="O70" s="103"/>
    </row>
    <row r="71" spans="1:15">
      <c r="A71" s="217" t="s">
        <v>152</v>
      </c>
      <c r="B71" s="218" t="s">
        <v>153</v>
      </c>
      <c r="C71" s="96">
        <f>+C72+C74</f>
        <v>0</v>
      </c>
      <c r="D71" s="79">
        <v>0</v>
      </c>
      <c r="E71" s="79">
        <v>0</v>
      </c>
      <c r="F71" s="96">
        <f>+F72+F74</f>
        <v>0</v>
      </c>
      <c r="G71" s="96" t="e">
        <f t="shared" si="0"/>
        <v>#DIV/0!</v>
      </c>
      <c r="H71" s="96" t="e">
        <f>+F71/E71*100</f>
        <v>#DIV/0!</v>
      </c>
      <c r="I71" s="87"/>
      <c r="J71" s="87"/>
      <c r="K71" s="87"/>
      <c r="L71" s="87"/>
      <c r="M71" s="87"/>
      <c r="N71" s="87"/>
      <c r="O71" s="87"/>
    </row>
    <row r="72" spans="1:15">
      <c r="A72" s="219" t="s">
        <v>154</v>
      </c>
      <c r="B72" s="220" t="s">
        <v>155</v>
      </c>
      <c r="C72" s="96">
        <f>+C73</f>
        <v>0</v>
      </c>
      <c r="D72" s="137"/>
      <c r="E72" s="137"/>
      <c r="F72" s="96">
        <f>+F73</f>
        <v>0</v>
      </c>
      <c r="G72" s="96" t="e">
        <f t="shared" si="0"/>
        <v>#DIV/0!</v>
      </c>
      <c r="H72" s="96"/>
      <c r="I72" s="87"/>
      <c r="J72" s="87"/>
      <c r="K72" s="87"/>
      <c r="L72" s="87"/>
      <c r="M72" s="87"/>
      <c r="N72" s="87"/>
      <c r="O72" s="87"/>
    </row>
    <row r="73" spans="1:15">
      <c r="A73" s="221" t="s">
        <v>156</v>
      </c>
      <c r="B73" s="222" t="s">
        <v>157</v>
      </c>
      <c r="C73" s="78">
        <v>0</v>
      </c>
      <c r="D73" s="137"/>
      <c r="E73" s="137"/>
      <c r="F73" s="78">
        <v>0</v>
      </c>
      <c r="G73" s="78" t="e">
        <f t="shared" ref="G73:G88" si="1">+F73/C73*100</f>
        <v>#DIV/0!</v>
      </c>
      <c r="H73" s="96"/>
      <c r="I73" s="87"/>
      <c r="J73" s="87"/>
      <c r="K73" s="87"/>
      <c r="L73" s="87"/>
      <c r="M73" s="87"/>
      <c r="N73" s="87"/>
      <c r="O73" s="87"/>
    </row>
    <row r="74" spans="1:15">
      <c r="A74" s="219" t="s">
        <v>158</v>
      </c>
      <c r="B74" s="220" t="s">
        <v>159</v>
      </c>
      <c r="C74" s="96">
        <f>+C75</f>
        <v>0</v>
      </c>
      <c r="D74" s="137"/>
      <c r="E74" s="137"/>
      <c r="F74" s="96">
        <f>+F75</f>
        <v>0</v>
      </c>
      <c r="G74" s="96" t="e">
        <f t="shared" si="1"/>
        <v>#DIV/0!</v>
      </c>
      <c r="H74" s="96"/>
      <c r="I74" s="87"/>
      <c r="J74" s="87"/>
      <c r="K74" s="87"/>
      <c r="L74" s="87"/>
      <c r="M74" s="87"/>
      <c r="N74" s="87"/>
      <c r="O74" s="87"/>
    </row>
    <row r="75" spans="1:15">
      <c r="A75" s="221" t="s">
        <v>160</v>
      </c>
      <c r="B75" s="222" t="s">
        <v>161</v>
      </c>
      <c r="C75" s="78">
        <v>0</v>
      </c>
      <c r="D75" s="137"/>
      <c r="E75" s="137"/>
      <c r="F75" s="78">
        <v>0</v>
      </c>
      <c r="G75" s="78" t="e">
        <f t="shared" si="1"/>
        <v>#DIV/0!</v>
      </c>
      <c r="H75" s="96"/>
      <c r="I75" s="87"/>
      <c r="J75" s="87"/>
      <c r="K75" s="87"/>
      <c r="L75" s="87"/>
      <c r="M75" s="87"/>
      <c r="N75" s="87"/>
      <c r="O75" s="87"/>
    </row>
    <row r="76" spans="1:15">
      <c r="A76" s="217" t="s">
        <v>162</v>
      </c>
      <c r="B76" s="218" t="s">
        <v>163</v>
      </c>
      <c r="C76" s="96">
        <f>+C77+C84+C87+C80</f>
        <v>7503</v>
      </c>
      <c r="D76" s="79">
        <v>350</v>
      </c>
      <c r="E76" s="79">
        <v>350</v>
      </c>
      <c r="F76" s="96">
        <f>+F77+F80+F84+F87</f>
        <v>330.5</v>
      </c>
      <c r="G76" s="96">
        <f t="shared" si="1"/>
        <v>4.40490470478475</v>
      </c>
      <c r="H76" s="96">
        <f>+F76/E76*100</f>
        <v>94.4285714285714</v>
      </c>
      <c r="I76" s="87"/>
      <c r="J76" s="87"/>
      <c r="K76" s="87"/>
      <c r="L76" s="87"/>
      <c r="M76" s="87"/>
      <c r="N76" s="87"/>
      <c r="O76" s="87"/>
    </row>
    <row r="77" spans="1:15">
      <c r="A77" s="219" t="s">
        <v>164</v>
      </c>
      <c r="B77" s="220" t="s">
        <v>165</v>
      </c>
      <c r="C77" s="96">
        <f>+C78+C79</f>
        <v>0</v>
      </c>
      <c r="D77" s="137"/>
      <c r="E77" s="137"/>
      <c r="F77" s="96">
        <f>+F78+F79</f>
        <v>0</v>
      </c>
      <c r="G77" s="96" t="e">
        <f t="shared" si="1"/>
        <v>#DIV/0!</v>
      </c>
      <c r="H77" s="96"/>
      <c r="I77" s="87"/>
      <c r="J77" s="87"/>
      <c r="K77" s="87"/>
      <c r="L77" s="87"/>
      <c r="M77" s="87"/>
      <c r="N77" s="87"/>
      <c r="O77" s="87"/>
    </row>
    <row r="78" spans="1:15">
      <c r="A78" s="221" t="s">
        <v>166</v>
      </c>
      <c r="B78" s="222" t="s">
        <v>167</v>
      </c>
      <c r="C78" s="78">
        <v>0</v>
      </c>
      <c r="D78" s="137"/>
      <c r="E78" s="137"/>
      <c r="F78" s="78">
        <v>0</v>
      </c>
      <c r="G78" s="78" t="e">
        <f t="shared" si="1"/>
        <v>#DIV/0!</v>
      </c>
      <c r="H78" s="96"/>
      <c r="I78" s="87"/>
      <c r="J78" s="87"/>
      <c r="K78" s="87"/>
      <c r="L78" s="87"/>
      <c r="M78" s="87"/>
      <c r="N78" s="87"/>
      <c r="O78" s="87"/>
    </row>
    <row r="79" spans="1:15">
      <c r="A79" s="221" t="s">
        <v>168</v>
      </c>
      <c r="B79" s="222" t="s">
        <v>169</v>
      </c>
      <c r="C79" s="78">
        <v>0</v>
      </c>
      <c r="D79" s="137"/>
      <c r="E79" s="137"/>
      <c r="F79" s="78">
        <v>0</v>
      </c>
      <c r="G79" s="78" t="e">
        <f t="shared" si="1"/>
        <v>#DIV/0!</v>
      </c>
      <c r="H79" s="96"/>
      <c r="I79" s="87"/>
      <c r="J79" s="87"/>
      <c r="K79" s="87"/>
      <c r="L79" s="87"/>
      <c r="M79" s="87"/>
      <c r="N79" s="87"/>
      <c r="O79" s="87"/>
    </row>
    <row r="80" spans="1:15">
      <c r="A80" s="219" t="s">
        <v>170</v>
      </c>
      <c r="B80" s="220" t="s">
        <v>171</v>
      </c>
      <c r="C80" s="96">
        <f>+C81+C82+C83</f>
        <v>2</v>
      </c>
      <c r="D80" s="137"/>
      <c r="E80" s="137"/>
      <c r="F80" s="96">
        <f>+F81+F82+F83</f>
        <v>330.5</v>
      </c>
      <c r="G80" s="96">
        <f t="shared" si="1"/>
        <v>16525</v>
      </c>
      <c r="H80" s="96"/>
      <c r="I80" s="87"/>
      <c r="J80" s="87"/>
      <c r="K80" s="87"/>
      <c r="L80" s="87"/>
      <c r="M80" s="87"/>
      <c r="N80" s="87"/>
      <c r="O80" s="87"/>
    </row>
    <row r="81" spans="1:15">
      <c r="A81" s="221" t="s">
        <v>172</v>
      </c>
      <c r="B81" s="222" t="s">
        <v>173</v>
      </c>
      <c r="C81" s="78">
        <v>2</v>
      </c>
      <c r="D81" s="137"/>
      <c r="E81" s="137"/>
      <c r="F81" s="78">
        <v>330.5</v>
      </c>
      <c r="G81" s="78">
        <f t="shared" si="1"/>
        <v>16525</v>
      </c>
      <c r="H81" s="96"/>
      <c r="I81" s="87"/>
      <c r="J81" s="87"/>
      <c r="K81" s="87"/>
      <c r="L81" s="87"/>
      <c r="M81" s="87"/>
      <c r="N81" s="87"/>
      <c r="O81" s="87"/>
    </row>
    <row r="82" spans="1:15">
      <c r="A82" s="221" t="s">
        <v>174</v>
      </c>
      <c r="B82" s="222" t="s">
        <v>175</v>
      </c>
      <c r="C82" s="78">
        <v>0</v>
      </c>
      <c r="D82" s="137"/>
      <c r="E82" s="137"/>
      <c r="F82" s="78">
        <v>0</v>
      </c>
      <c r="G82" s="78" t="e">
        <f t="shared" si="1"/>
        <v>#DIV/0!</v>
      </c>
      <c r="H82" s="96"/>
      <c r="I82" s="87"/>
      <c r="J82" s="87"/>
      <c r="K82" s="87"/>
      <c r="L82" s="87"/>
      <c r="M82" s="87"/>
      <c r="N82" s="87"/>
      <c r="O82" s="87"/>
    </row>
    <row r="83" spans="1:15">
      <c r="A83" s="221" t="s">
        <v>176</v>
      </c>
      <c r="B83" s="222" t="s">
        <v>177</v>
      </c>
      <c r="C83" s="78">
        <v>0</v>
      </c>
      <c r="D83" s="137"/>
      <c r="E83" s="137"/>
      <c r="F83" s="78">
        <v>0</v>
      </c>
      <c r="G83" s="78" t="e">
        <f t="shared" si="1"/>
        <v>#DIV/0!</v>
      </c>
      <c r="H83" s="96"/>
      <c r="I83" s="87"/>
      <c r="J83" s="87"/>
      <c r="K83" s="87"/>
      <c r="L83" s="87"/>
      <c r="M83" s="87"/>
      <c r="N83" s="87"/>
      <c r="O83" s="87"/>
    </row>
    <row r="84" spans="1:15">
      <c r="A84" s="219" t="s">
        <v>178</v>
      </c>
      <c r="B84" s="220" t="s">
        <v>179</v>
      </c>
      <c r="C84" s="96">
        <f>+C85+C86</f>
        <v>7501</v>
      </c>
      <c r="D84" s="137"/>
      <c r="E84" s="137"/>
      <c r="F84" s="96">
        <f>+F85+F86</f>
        <v>0</v>
      </c>
      <c r="G84" s="96">
        <f t="shared" si="1"/>
        <v>0</v>
      </c>
      <c r="H84" s="96"/>
      <c r="I84" s="87"/>
      <c r="J84" s="87"/>
      <c r="K84" s="87"/>
      <c r="L84" s="87"/>
      <c r="M84" s="87"/>
      <c r="N84" s="87"/>
      <c r="O84" s="87"/>
    </row>
    <row r="85" spans="1:15">
      <c r="A85" s="221" t="s">
        <v>180</v>
      </c>
      <c r="B85" s="222" t="s">
        <v>181</v>
      </c>
      <c r="C85" s="78">
        <v>0</v>
      </c>
      <c r="D85" s="137"/>
      <c r="E85" s="137"/>
      <c r="F85" s="78">
        <v>0</v>
      </c>
      <c r="G85" s="78" t="e">
        <f t="shared" si="1"/>
        <v>#DIV/0!</v>
      </c>
      <c r="H85" s="96"/>
      <c r="I85" s="87"/>
      <c r="J85" s="87"/>
      <c r="K85" s="87"/>
      <c r="L85" s="87"/>
      <c r="M85" s="87"/>
      <c r="N85" s="87"/>
      <c r="O85" s="87"/>
    </row>
    <row r="86" spans="1:15">
      <c r="A86" s="221" t="s">
        <v>182</v>
      </c>
      <c r="B86" s="222" t="s">
        <v>183</v>
      </c>
      <c r="C86" s="78">
        <v>7501</v>
      </c>
      <c r="D86" s="137"/>
      <c r="E86" s="137"/>
      <c r="F86" s="78">
        <v>0</v>
      </c>
      <c r="G86" s="78">
        <f t="shared" si="1"/>
        <v>0</v>
      </c>
      <c r="H86" s="96"/>
      <c r="I86" s="87"/>
      <c r="J86" s="87"/>
      <c r="K86" s="87"/>
      <c r="L86" s="87"/>
      <c r="M86" s="87"/>
      <c r="N86" s="87"/>
      <c r="O86" s="87"/>
    </row>
    <row r="87" spans="1:15">
      <c r="A87" s="219" t="s">
        <v>184</v>
      </c>
      <c r="B87" s="220" t="s">
        <v>185</v>
      </c>
      <c r="C87" s="96">
        <f>+C88</f>
        <v>0</v>
      </c>
      <c r="D87" s="137"/>
      <c r="E87" s="137"/>
      <c r="F87" s="96">
        <f>+F88</f>
        <v>0</v>
      </c>
      <c r="G87" s="96" t="e">
        <f t="shared" si="1"/>
        <v>#DIV/0!</v>
      </c>
      <c r="H87" s="96"/>
      <c r="I87" s="87"/>
      <c r="J87" s="87"/>
      <c r="K87" s="87"/>
      <c r="L87" s="87"/>
      <c r="M87" s="87"/>
      <c r="N87" s="87"/>
      <c r="O87" s="87"/>
    </row>
    <row r="88" spans="1:15">
      <c r="A88" s="221" t="s">
        <v>186</v>
      </c>
      <c r="B88" s="222" t="s">
        <v>187</v>
      </c>
      <c r="C88" s="78"/>
      <c r="D88" s="137"/>
      <c r="E88" s="137"/>
      <c r="F88" s="78"/>
      <c r="G88" s="78" t="e">
        <f t="shared" si="1"/>
        <v>#DIV/0!</v>
      </c>
      <c r="H88" s="96"/>
      <c r="I88" s="87"/>
      <c r="J88" s="87"/>
      <c r="K88" s="87"/>
      <c r="L88" s="87"/>
      <c r="M88" s="87"/>
      <c r="N88" s="87"/>
      <c r="O88" s="87"/>
    </row>
  </sheetData>
  <mergeCells count="5">
    <mergeCell ref="A1:H1"/>
    <mergeCell ref="A3:H3"/>
    <mergeCell ref="A5:H5"/>
    <mergeCell ref="A7:B7"/>
    <mergeCell ref="A8:B8"/>
  </mergeCells>
  <pageMargins left="0.708661417322835" right="0.708661417322835" top="0.551181102362205" bottom="0.551181102362205" header="0.31496062992126" footer="0.31496062992126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2"/>
  <sheetViews>
    <sheetView workbookViewId="0">
      <pane xSplit="2" ySplit="8" topLeftCell="C138" activePane="bottomRight" state="frozen"/>
      <selection/>
      <selection pane="topRight"/>
      <selection pane="bottomLeft"/>
      <selection pane="bottomRight" activeCell="H121" sqref="H121"/>
    </sheetView>
  </sheetViews>
  <sheetFormatPr defaultColWidth="9" defaultRowHeight="12.75"/>
  <cols>
    <col min="1" max="1" width="16.7142857142857" style="56" customWidth="1"/>
    <col min="2" max="2" width="48.1428571428571" style="57" customWidth="1"/>
    <col min="3" max="3" width="20.1428571428571" style="58" customWidth="1"/>
    <col min="4" max="5" width="17.5714285714286" style="59" customWidth="1"/>
    <col min="6" max="6" width="16.4285714285714" style="58" customWidth="1"/>
    <col min="7" max="7" width="15.5714285714286" style="58" customWidth="1"/>
    <col min="8" max="8" width="11.8571428571429" style="58" customWidth="1"/>
    <col min="9" max="9" width="15.4285714285714" style="58" customWidth="1"/>
    <col min="10" max="10" width="9.42857142857143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9" style="56" customWidth="1"/>
    <col min="258" max="258" width="57.5714285714286" style="56" customWidth="1"/>
    <col min="259" max="259" width="20.1428571428571" style="56" customWidth="1"/>
    <col min="260" max="261" width="17.5714285714286" style="56" customWidth="1"/>
    <col min="262" max="262" width="16.4285714285714" style="56" customWidth="1"/>
    <col min="263" max="263" width="15.5714285714286" style="56" customWidth="1"/>
    <col min="264" max="264" width="11.8571428571429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9" style="56" customWidth="1"/>
    <col min="514" max="514" width="57.5714285714286" style="56" customWidth="1"/>
    <col min="515" max="515" width="20.1428571428571" style="56" customWidth="1"/>
    <col min="516" max="517" width="17.5714285714286" style="56" customWidth="1"/>
    <col min="518" max="518" width="16.4285714285714" style="56" customWidth="1"/>
    <col min="519" max="519" width="15.5714285714286" style="56" customWidth="1"/>
    <col min="520" max="520" width="11.8571428571429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9" style="56" customWidth="1"/>
    <col min="770" max="770" width="57.5714285714286" style="56" customWidth="1"/>
    <col min="771" max="771" width="20.1428571428571" style="56" customWidth="1"/>
    <col min="772" max="773" width="17.5714285714286" style="56" customWidth="1"/>
    <col min="774" max="774" width="16.4285714285714" style="56" customWidth="1"/>
    <col min="775" max="775" width="15.5714285714286" style="56" customWidth="1"/>
    <col min="776" max="776" width="11.8571428571429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9" style="56" customWidth="1"/>
    <col min="1026" max="1026" width="57.5714285714286" style="56" customWidth="1"/>
    <col min="1027" max="1027" width="20.1428571428571" style="56" customWidth="1"/>
    <col min="1028" max="1029" width="17.5714285714286" style="56" customWidth="1"/>
    <col min="1030" max="1030" width="16.4285714285714" style="56" customWidth="1"/>
    <col min="1031" max="1031" width="15.5714285714286" style="56" customWidth="1"/>
    <col min="1032" max="1032" width="11.8571428571429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9" style="56" customWidth="1"/>
    <col min="1282" max="1282" width="57.5714285714286" style="56" customWidth="1"/>
    <col min="1283" max="1283" width="20.1428571428571" style="56" customWidth="1"/>
    <col min="1284" max="1285" width="17.5714285714286" style="56" customWidth="1"/>
    <col min="1286" max="1286" width="16.4285714285714" style="56" customWidth="1"/>
    <col min="1287" max="1287" width="15.5714285714286" style="56" customWidth="1"/>
    <col min="1288" max="1288" width="11.8571428571429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9" style="56" customWidth="1"/>
    <col min="1538" max="1538" width="57.5714285714286" style="56" customWidth="1"/>
    <col min="1539" max="1539" width="20.1428571428571" style="56" customWidth="1"/>
    <col min="1540" max="1541" width="17.5714285714286" style="56" customWidth="1"/>
    <col min="1542" max="1542" width="16.4285714285714" style="56" customWidth="1"/>
    <col min="1543" max="1543" width="15.5714285714286" style="56" customWidth="1"/>
    <col min="1544" max="1544" width="11.8571428571429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9" style="56" customWidth="1"/>
    <col min="1794" max="1794" width="57.5714285714286" style="56" customWidth="1"/>
    <col min="1795" max="1795" width="20.1428571428571" style="56" customWidth="1"/>
    <col min="1796" max="1797" width="17.5714285714286" style="56" customWidth="1"/>
    <col min="1798" max="1798" width="16.4285714285714" style="56" customWidth="1"/>
    <col min="1799" max="1799" width="15.5714285714286" style="56" customWidth="1"/>
    <col min="1800" max="1800" width="11.8571428571429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9" style="56" customWidth="1"/>
    <col min="2050" max="2050" width="57.5714285714286" style="56" customWidth="1"/>
    <col min="2051" max="2051" width="20.1428571428571" style="56" customWidth="1"/>
    <col min="2052" max="2053" width="17.5714285714286" style="56" customWidth="1"/>
    <col min="2054" max="2054" width="16.4285714285714" style="56" customWidth="1"/>
    <col min="2055" max="2055" width="15.5714285714286" style="56" customWidth="1"/>
    <col min="2056" max="2056" width="11.8571428571429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9" style="56" customWidth="1"/>
    <col min="2306" max="2306" width="57.5714285714286" style="56" customWidth="1"/>
    <col min="2307" max="2307" width="20.1428571428571" style="56" customWidth="1"/>
    <col min="2308" max="2309" width="17.5714285714286" style="56" customWidth="1"/>
    <col min="2310" max="2310" width="16.4285714285714" style="56" customWidth="1"/>
    <col min="2311" max="2311" width="15.5714285714286" style="56" customWidth="1"/>
    <col min="2312" max="2312" width="11.8571428571429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9" style="56" customWidth="1"/>
    <col min="2562" max="2562" width="57.5714285714286" style="56" customWidth="1"/>
    <col min="2563" max="2563" width="20.1428571428571" style="56" customWidth="1"/>
    <col min="2564" max="2565" width="17.5714285714286" style="56" customWidth="1"/>
    <col min="2566" max="2566" width="16.4285714285714" style="56" customWidth="1"/>
    <col min="2567" max="2567" width="15.5714285714286" style="56" customWidth="1"/>
    <col min="2568" max="2568" width="11.8571428571429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9" style="56" customWidth="1"/>
    <col min="2818" max="2818" width="57.5714285714286" style="56" customWidth="1"/>
    <col min="2819" max="2819" width="20.1428571428571" style="56" customWidth="1"/>
    <col min="2820" max="2821" width="17.5714285714286" style="56" customWidth="1"/>
    <col min="2822" max="2822" width="16.4285714285714" style="56" customWidth="1"/>
    <col min="2823" max="2823" width="15.5714285714286" style="56" customWidth="1"/>
    <col min="2824" max="2824" width="11.8571428571429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9" style="56" customWidth="1"/>
    <col min="3074" max="3074" width="57.5714285714286" style="56" customWidth="1"/>
    <col min="3075" max="3075" width="20.1428571428571" style="56" customWidth="1"/>
    <col min="3076" max="3077" width="17.5714285714286" style="56" customWidth="1"/>
    <col min="3078" max="3078" width="16.4285714285714" style="56" customWidth="1"/>
    <col min="3079" max="3079" width="15.5714285714286" style="56" customWidth="1"/>
    <col min="3080" max="3080" width="11.8571428571429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9" style="56" customWidth="1"/>
    <col min="3330" max="3330" width="57.5714285714286" style="56" customWidth="1"/>
    <col min="3331" max="3331" width="20.1428571428571" style="56" customWidth="1"/>
    <col min="3332" max="3333" width="17.5714285714286" style="56" customWidth="1"/>
    <col min="3334" max="3334" width="16.4285714285714" style="56" customWidth="1"/>
    <col min="3335" max="3335" width="15.5714285714286" style="56" customWidth="1"/>
    <col min="3336" max="3336" width="11.8571428571429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9" style="56" customWidth="1"/>
    <col min="3586" max="3586" width="57.5714285714286" style="56" customWidth="1"/>
    <col min="3587" max="3587" width="20.1428571428571" style="56" customWidth="1"/>
    <col min="3588" max="3589" width="17.5714285714286" style="56" customWidth="1"/>
    <col min="3590" max="3590" width="16.4285714285714" style="56" customWidth="1"/>
    <col min="3591" max="3591" width="15.5714285714286" style="56" customWidth="1"/>
    <col min="3592" max="3592" width="11.8571428571429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9" style="56" customWidth="1"/>
    <col min="3842" max="3842" width="57.5714285714286" style="56" customWidth="1"/>
    <col min="3843" max="3843" width="20.1428571428571" style="56" customWidth="1"/>
    <col min="3844" max="3845" width="17.5714285714286" style="56" customWidth="1"/>
    <col min="3846" max="3846" width="16.4285714285714" style="56" customWidth="1"/>
    <col min="3847" max="3847" width="15.5714285714286" style="56" customWidth="1"/>
    <col min="3848" max="3848" width="11.8571428571429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9" style="56" customWidth="1"/>
    <col min="4098" max="4098" width="57.5714285714286" style="56" customWidth="1"/>
    <col min="4099" max="4099" width="20.1428571428571" style="56" customWidth="1"/>
    <col min="4100" max="4101" width="17.5714285714286" style="56" customWidth="1"/>
    <col min="4102" max="4102" width="16.4285714285714" style="56" customWidth="1"/>
    <col min="4103" max="4103" width="15.5714285714286" style="56" customWidth="1"/>
    <col min="4104" max="4104" width="11.8571428571429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9" style="56" customWidth="1"/>
    <col min="4354" max="4354" width="57.5714285714286" style="56" customWidth="1"/>
    <col min="4355" max="4355" width="20.1428571428571" style="56" customWidth="1"/>
    <col min="4356" max="4357" width="17.5714285714286" style="56" customWidth="1"/>
    <col min="4358" max="4358" width="16.4285714285714" style="56" customWidth="1"/>
    <col min="4359" max="4359" width="15.5714285714286" style="56" customWidth="1"/>
    <col min="4360" max="4360" width="11.8571428571429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9" style="56" customWidth="1"/>
    <col min="4610" max="4610" width="57.5714285714286" style="56" customWidth="1"/>
    <col min="4611" max="4611" width="20.1428571428571" style="56" customWidth="1"/>
    <col min="4612" max="4613" width="17.5714285714286" style="56" customWidth="1"/>
    <col min="4614" max="4614" width="16.4285714285714" style="56" customWidth="1"/>
    <col min="4615" max="4615" width="15.5714285714286" style="56" customWidth="1"/>
    <col min="4616" max="4616" width="11.8571428571429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9" style="56" customWidth="1"/>
    <col min="4866" max="4866" width="57.5714285714286" style="56" customWidth="1"/>
    <col min="4867" max="4867" width="20.1428571428571" style="56" customWidth="1"/>
    <col min="4868" max="4869" width="17.5714285714286" style="56" customWidth="1"/>
    <col min="4870" max="4870" width="16.4285714285714" style="56" customWidth="1"/>
    <col min="4871" max="4871" width="15.5714285714286" style="56" customWidth="1"/>
    <col min="4872" max="4872" width="11.8571428571429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9" style="56" customWidth="1"/>
    <col min="5122" max="5122" width="57.5714285714286" style="56" customWidth="1"/>
    <col min="5123" max="5123" width="20.1428571428571" style="56" customWidth="1"/>
    <col min="5124" max="5125" width="17.5714285714286" style="56" customWidth="1"/>
    <col min="5126" max="5126" width="16.4285714285714" style="56" customWidth="1"/>
    <col min="5127" max="5127" width="15.5714285714286" style="56" customWidth="1"/>
    <col min="5128" max="5128" width="11.8571428571429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9" style="56" customWidth="1"/>
    <col min="5378" max="5378" width="57.5714285714286" style="56" customWidth="1"/>
    <col min="5379" max="5379" width="20.1428571428571" style="56" customWidth="1"/>
    <col min="5380" max="5381" width="17.5714285714286" style="56" customWidth="1"/>
    <col min="5382" max="5382" width="16.4285714285714" style="56" customWidth="1"/>
    <col min="5383" max="5383" width="15.5714285714286" style="56" customWidth="1"/>
    <col min="5384" max="5384" width="11.8571428571429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9" style="56" customWidth="1"/>
    <col min="5634" max="5634" width="57.5714285714286" style="56" customWidth="1"/>
    <col min="5635" max="5635" width="20.1428571428571" style="56" customWidth="1"/>
    <col min="5636" max="5637" width="17.5714285714286" style="56" customWidth="1"/>
    <col min="5638" max="5638" width="16.4285714285714" style="56" customWidth="1"/>
    <col min="5639" max="5639" width="15.5714285714286" style="56" customWidth="1"/>
    <col min="5640" max="5640" width="11.8571428571429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9" style="56" customWidth="1"/>
    <col min="5890" max="5890" width="57.5714285714286" style="56" customWidth="1"/>
    <col min="5891" max="5891" width="20.1428571428571" style="56" customWidth="1"/>
    <col min="5892" max="5893" width="17.5714285714286" style="56" customWidth="1"/>
    <col min="5894" max="5894" width="16.4285714285714" style="56" customWidth="1"/>
    <col min="5895" max="5895" width="15.5714285714286" style="56" customWidth="1"/>
    <col min="5896" max="5896" width="11.8571428571429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9" style="56" customWidth="1"/>
    <col min="6146" max="6146" width="57.5714285714286" style="56" customWidth="1"/>
    <col min="6147" max="6147" width="20.1428571428571" style="56" customWidth="1"/>
    <col min="6148" max="6149" width="17.5714285714286" style="56" customWidth="1"/>
    <col min="6150" max="6150" width="16.4285714285714" style="56" customWidth="1"/>
    <col min="6151" max="6151" width="15.5714285714286" style="56" customWidth="1"/>
    <col min="6152" max="6152" width="11.8571428571429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9" style="56" customWidth="1"/>
    <col min="6402" max="6402" width="57.5714285714286" style="56" customWidth="1"/>
    <col min="6403" max="6403" width="20.1428571428571" style="56" customWidth="1"/>
    <col min="6404" max="6405" width="17.5714285714286" style="56" customWidth="1"/>
    <col min="6406" max="6406" width="16.4285714285714" style="56" customWidth="1"/>
    <col min="6407" max="6407" width="15.5714285714286" style="56" customWidth="1"/>
    <col min="6408" max="6408" width="11.8571428571429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9" style="56" customWidth="1"/>
    <col min="6658" max="6658" width="57.5714285714286" style="56" customWidth="1"/>
    <col min="6659" max="6659" width="20.1428571428571" style="56" customWidth="1"/>
    <col min="6660" max="6661" width="17.5714285714286" style="56" customWidth="1"/>
    <col min="6662" max="6662" width="16.4285714285714" style="56" customWidth="1"/>
    <col min="6663" max="6663" width="15.5714285714286" style="56" customWidth="1"/>
    <col min="6664" max="6664" width="11.8571428571429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9" style="56" customWidth="1"/>
    <col min="6914" max="6914" width="57.5714285714286" style="56" customWidth="1"/>
    <col min="6915" max="6915" width="20.1428571428571" style="56" customWidth="1"/>
    <col min="6916" max="6917" width="17.5714285714286" style="56" customWidth="1"/>
    <col min="6918" max="6918" width="16.4285714285714" style="56" customWidth="1"/>
    <col min="6919" max="6919" width="15.5714285714286" style="56" customWidth="1"/>
    <col min="6920" max="6920" width="11.8571428571429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9" style="56" customWidth="1"/>
    <col min="7170" max="7170" width="57.5714285714286" style="56" customWidth="1"/>
    <col min="7171" max="7171" width="20.1428571428571" style="56" customWidth="1"/>
    <col min="7172" max="7173" width="17.5714285714286" style="56" customWidth="1"/>
    <col min="7174" max="7174" width="16.4285714285714" style="56" customWidth="1"/>
    <col min="7175" max="7175" width="15.5714285714286" style="56" customWidth="1"/>
    <col min="7176" max="7176" width="11.8571428571429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9" style="56" customWidth="1"/>
    <col min="7426" max="7426" width="57.5714285714286" style="56" customWidth="1"/>
    <col min="7427" max="7427" width="20.1428571428571" style="56" customWidth="1"/>
    <col min="7428" max="7429" width="17.5714285714286" style="56" customWidth="1"/>
    <col min="7430" max="7430" width="16.4285714285714" style="56" customWidth="1"/>
    <col min="7431" max="7431" width="15.5714285714286" style="56" customWidth="1"/>
    <col min="7432" max="7432" width="11.8571428571429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9" style="56" customWidth="1"/>
    <col min="7682" max="7682" width="57.5714285714286" style="56" customWidth="1"/>
    <col min="7683" max="7683" width="20.1428571428571" style="56" customWidth="1"/>
    <col min="7684" max="7685" width="17.5714285714286" style="56" customWidth="1"/>
    <col min="7686" max="7686" width="16.4285714285714" style="56" customWidth="1"/>
    <col min="7687" max="7687" width="15.5714285714286" style="56" customWidth="1"/>
    <col min="7688" max="7688" width="11.8571428571429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9" style="56" customWidth="1"/>
    <col min="7938" max="7938" width="57.5714285714286" style="56" customWidth="1"/>
    <col min="7939" max="7939" width="20.1428571428571" style="56" customWidth="1"/>
    <col min="7940" max="7941" width="17.5714285714286" style="56" customWidth="1"/>
    <col min="7942" max="7942" width="16.4285714285714" style="56" customWidth="1"/>
    <col min="7943" max="7943" width="15.5714285714286" style="56" customWidth="1"/>
    <col min="7944" max="7944" width="11.8571428571429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9" style="56" customWidth="1"/>
    <col min="8194" max="8194" width="57.5714285714286" style="56" customWidth="1"/>
    <col min="8195" max="8195" width="20.1428571428571" style="56" customWidth="1"/>
    <col min="8196" max="8197" width="17.5714285714286" style="56" customWidth="1"/>
    <col min="8198" max="8198" width="16.4285714285714" style="56" customWidth="1"/>
    <col min="8199" max="8199" width="15.5714285714286" style="56" customWidth="1"/>
    <col min="8200" max="8200" width="11.8571428571429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9" style="56" customWidth="1"/>
    <col min="8450" max="8450" width="57.5714285714286" style="56" customWidth="1"/>
    <col min="8451" max="8451" width="20.1428571428571" style="56" customWidth="1"/>
    <col min="8452" max="8453" width="17.5714285714286" style="56" customWidth="1"/>
    <col min="8454" max="8454" width="16.4285714285714" style="56" customWidth="1"/>
    <col min="8455" max="8455" width="15.5714285714286" style="56" customWidth="1"/>
    <col min="8456" max="8456" width="11.8571428571429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9" style="56" customWidth="1"/>
    <col min="8706" max="8706" width="57.5714285714286" style="56" customWidth="1"/>
    <col min="8707" max="8707" width="20.1428571428571" style="56" customWidth="1"/>
    <col min="8708" max="8709" width="17.5714285714286" style="56" customWidth="1"/>
    <col min="8710" max="8710" width="16.4285714285714" style="56" customWidth="1"/>
    <col min="8711" max="8711" width="15.5714285714286" style="56" customWidth="1"/>
    <col min="8712" max="8712" width="11.8571428571429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9" style="56" customWidth="1"/>
    <col min="8962" max="8962" width="57.5714285714286" style="56" customWidth="1"/>
    <col min="8963" max="8963" width="20.1428571428571" style="56" customWidth="1"/>
    <col min="8964" max="8965" width="17.5714285714286" style="56" customWidth="1"/>
    <col min="8966" max="8966" width="16.4285714285714" style="56" customWidth="1"/>
    <col min="8967" max="8967" width="15.5714285714286" style="56" customWidth="1"/>
    <col min="8968" max="8968" width="11.8571428571429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9" style="56" customWidth="1"/>
    <col min="9218" max="9218" width="57.5714285714286" style="56" customWidth="1"/>
    <col min="9219" max="9219" width="20.1428571428571" style="56" customWidth="1"/>
    <col min="9220" max="9221" width="17.5714285714286" style="56" customWidth="1"/>
    <col min="9222" max="9222" width="16.4285714285714" style="56" customWidth="1"/>
    <col min="9223" max="9223" width="15.5714285714286" style="56" customWidth="1"/>
    <col min="9224" max="9224" width="11.8571428571429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9" style="56" customWidth="1"/>
    <col min="9474" max="9474" width="57.5714285714286" style="56" customWidth="1"/>
    <col min="9475" max="9475" width="20.1428571428571" style="56" customWidth="1"/>
    <col min="9476" max="9477" width="17.5714285714286" style="56" customWidth="1"/>
    <col min="9478" max="9478" width="16.4285714285714" style="56" customWidth="1"/>
    <col min="9479" max="9479" width="15.5714285714286" style="56" customWidth="1"/>
    <col min="9480" max="9480" width="11.8571428571429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9" style="56" customWidth="1"/>
    <col min="9730" max="9730" width="57.5714285714286" style="56" customWidth="1"/>
    <col min="9731" max="9731" width="20.1428571428571" style="56" customWidth="1"/>
    <col min="9732" max="9733" width="17.5714285714286" style="56" customWidth="1"/>
    <col min="9734" max="9734" width="16.4285714285714" style="56" customWidth="1"/>
    <col min="9735" max="9735" width="15.5714285714286" style="56" customWidth="1"/>
    <col min="9736" max="9736" width="11.8571428571429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9" style="56" customWidth="1"/>
    <col min="9986" max="9986" width="57.5714285714286" style="56" customWidth="1"/>
    <col min="9987" max="9987" width="20.1428571428571" style="56" customWidth="1"/>
    <col min="9988" max="9989" width="17.5714285714286" style="56" customWidth="1"/>
    <col min="9990" max="9990" width="16.4285714285714" style="56" customWidth="1"/>
    <col min="9991" max="9991" width="15.5714285714286" style="56" customWidth="1"/>
    <col min="9992" max="9992" width="11.8571428571429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9" style="56" customWidth="1"/>
    <col min="10242" max="10242" width="57.5714285714286" style="56" customWidth="1"/>
    <col min="10243" max="10243" width="20.1428571428571" style="56" customWidth="1"/>
    <col min="10244" max="10245" width="17.5714285714286" style="56" customWidth="1"/>
    <col min="10246" max="10246" width="16.4285714285714" style="56" customWidth="1"/>
    <col min="10247" max="10247" width="15.5714285714286" style="56" customWidth="1"/>
    <col min="10248" max="10248" width="11.8571428571429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9" style="56" customWidth="1"/>
    <col min="10498" max="10498" width="57.5714285714286" style="56" customWidth="1"/>
    <col min="10499" max="10499" width="20.1428571428571" style="56" customWidth="1"/>
    <col min="10500" max="10501" width="17.5714285714286" style="56" customWidth="1"/>
    <col min="10502" max="10502" width="16.4285714285714" style="56" customWidth="1"/>
    <col min="10503" max="10503" width="15.5714285714286" style="56" customWidth="1"/>
    <col min="10504" max="10504" width="11.8571428571429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9" style="56" customWidth="1"/>
    <col min="10754" max="10754" width="57.5714285714286" style="56" customWidth="1"/>
    <col min="10755" max="10755" width="20.1428571428571" style="56" customWidth="1"/>
    <col min="10756" max="10757" width="17.5714285714286" style="56" customWidth="1"/>
    <col min="10758" max="10758" width="16.4285714285714" style="56" customWidth="1"/>
    <col min="10759" max="10759" width="15.5714285714286" style="56" customWidth="1"/>
    <col min="10760" max="10760" width="11.8571428571429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9" style="56" customWidth="1"/>
    <col min="11010" max="11010" width="57.5714285714286" style="56" customWidth="1"/>
    <col min="11011" max="11011" width="20.1428571428571" style="56" customWidth="1"/>
    <col min="11012" max="11013" width="17.5714285714286" style="56" customWidth="1"/>
    <col min="11014" max="11014" width="16.4285714285714" style="56" customWidth="1"/>
    <col min="11015" max="11015" width="15.5714285714286" style="56" customWidth="1"/>
    <col min="11016" max="11016" width="11.8571428571429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9" style="56" customWidth="1"/>
    <col min="11266" max="11266" width="57.5714285714286" style="56" customWidth="1"/>
    <col min="11267" max="11267" width="20.1428571428571" style="56" customWidth="1"/>
    <col min="11268" max="11269" width="17.5714285714286" style="56" customWidth="1"/>
    <col min="11270" max="11270" width="16.4285714285714" style="56" customWidth="1"/>
    <col min="11271" max="11271" width="15.5714285714286" style="56" customWidth="1"/>
    <col min="11272" max="11272" width="11.8571428571429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9" style="56" customWidth="1"/>
    <col min="11522" max="11522" width="57.5714285714286" style="56" customWidth="1"/>
    <col min="11523" max="11523" width="20.1428571428571" style="56" customWidth="1"/>
    <col min="11524" max="11525" width="17.5714285714286" style="56" customWidth="1"/>
    <col min="11526" max="11526" width="16.4285714285714" style="56" customWidth="1"/>
    <col min="11527" max="11527" width="15.5714285714286" style="56" customWidth="1"/>
    <col min="11528" max="11528" width="11.8571428571429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9" style="56" customWidth="1"/>
    <col min="11778" max="11778" width="57.5714285714286" style="56" customWidth="1"/>
    <col min="11779" max="11779" width="20.1428571428571" style="56" customWidth="1"/>
    <col min="11780" max="11781" width="17.5714285714286" style="56" customWidth="1"/>
    <col min="11782" max="11782" width="16.4285714285714" style="56" customWidth="1"/>
    <col min="11783" max="11783" width="15.5714285714286" style="56" customWidth="1"/>
    <col min="11784" max="11784" width="11.8571428571429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9" style="56" customWidth="1"/>
    <col min="12034" max="12034" width="57.5714285714286" style="56" customWidth="1"/>
    <col min="12035" max="12035" width="20.1428571428571" style="56" customWidth="1"/>
    <col min="12036" max="12037" width="17.5714285714286" style="56" customWidth="1"/>
    <col min="12038" max="12038" width="16.4285714285714" style="56" customWidth="1"/>
    <col min="12039" max="12039" width="15.5714285714286" style="56" customWidth="1"/>
    <col min="12040" max="12040" width="11.8571428571429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9" style="56" customWidth="1"/>
    <col min="12290" max="12290" width="57.5714285714286" style="56" customWidth="1"/>
    <col min="12291" max="12291" width="20.1428571428571" style="56" customWidth="1"/>
    <col min="12292" max="12293" width="17.5714285714286" style="56" customWidth="1"/>
    <col min="12294" max="12294" width="16.4285714285714" style="56" customWidth="1"/>
    <col min="12295" max="12295" width="15.5714285714286" style="56" customWidth="1"/>
    <col min="12296" max="12296" width="11.8571428571429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9" style="56" customWidth="1"/>
    <col min="12546" max="12546" width="57.5714285714286" style="56" customWidth="1"/>
    <col min="12547" max="12547" width="20.1428571428571" style="56" customWidth="1"/>
    <col min="12548" max="12549" width="17.5714285714286" style="56" customWidth="1"/>
    <col min="12550" max="12550" width="16.4285714285714" style="56" customWidth="1"/>
    <col min="12551" max="12551" width="15.5714285714286" style="56" customWidth="1"/>
    <col min="12552" max="12552" width="11.8571428571429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9" style="56" customWidth="1"/>
    <col min="12802" max="12802" width="57.5714285714286" style="56" customWidth="1"/>
    <col min="12803" max="12803" width="20.1428571428571" style="56" customWidth="1"/>
    <col min="12804" max="12805" width="17.5714285714286" style="56" customWidth="1"/>
    <col min="12806" max="12806" width="16.4285714285714" style="56" customWidth="1"/>
    <col min="12807" max="12807" width="15.5714285714286" style="56" customWidth="1"/>
    <col min="12808" max="12808" width="11.8571428571429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9" style="56" customWidth="1"/>
    <col min="13058" max="13058" width="57.5714285714286" style="56" customWidth="1"/>
    <col min="13059" max="13059" width="20.1428571428571" style="56" customWidth="1"/>
    <col min="13060" max="13061" width="17.5714285714286" style="56" customWidth="1"/>
    <col min="13062" max="13062" width="16.4285714285714" style="56" customWidth="1"/>
    <col min="13063" max="13063" width="15.5714285714286" style="56" customWidth="1"/>
    <col min="13064" max="13064" width="11.8571428571429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9" style="56" customWidth="1"/>
    <col min="13314" max="13314" width="57.5714285714286" style="56" customWidth="1"/>
    <col min="13315" max="13315" width="20.1428571428571" style="56" customWidth="1"/>
    <col min="13316" max="13317" width="17.5714285714286" style="56" customWidth="1"/>
    <col min="13318" max="13318" width="16.4285714285714" style="56" customWidth="1"/>
    <col min="13319" max="13319" width="15.5714285714286" style="56" customWidth="1"/>
    <col min="13320" max="13320" width="11.8571428571429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9" style="56" customWidth="1"/>
    <col min="13570" max="13570" width="57.5714285714286" style="56" customWidth="1"/>
    <col min="13571" max="13571" width="20.1428571428571" style="56" customWidth="1"/>
    <col min="13572" max="13573" width="17.5714285714286" style="56" customWidth="1"/>
    <col min="13574" max="13574" width="16.4285714285714" style="56" customWidth="1"/>
    <col min="13575" max="13575" width="15.5714285714286" style="56" customWidth="1"/>
    <col min="13576" max="13576" width="11.8571428571429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9" style="56" customWidth="1"/>
    <col min="13826" max="13826" width="57.5714285714286" style="56" customWidth="1"/>
    <col min="13827" max="13827" width="20.1428571428571" style="56" customWidth="1"/>
    <col min="13828" max="13829" width="17.5714285714286" style="56" customWidth="1"/>
    <col min="13830" max="13830" width="16.4285714285714" style="56" customWidth="1"/>
    <col min="13831" max="13831" width="15.5714285714286" style="56" customWidth="1"/>
    <col min="13832" max="13832" width="11.8571428571429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9" style="56" customWidth="1"/>
    <col min="14082" max="14082" width="57.5714285714286" style="56" customWidth="1"/>
    <col min="14083" max="14083" width="20.1428571428571" style="56" customWidth="1"/>
    <col min="14084" max="14085" width="17.5714285714286" style="56" customWidth="1"/>
    <col min="14086" max="14086" width="16.4285714285714" style="56" customWidth="1"/>
    <col min="14087" max="14087" width="15.5714285714286" style="56" customWidth="1"/>
    <col min="14088" max="14088" width="11.8571428571429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9" style="56" customWidth="1"/>
    <col min="14338" max="14338" width="57.5714285714286" style="56" customWidth="1"/>
    <col min="14339" max="14339" width="20.1428571428571" style="56" customWidth="1"/>
    <col min="14340" max="14341" width="17.5714285714286" style="56" customWidth="1"/>
    <col min="14342" max="14342" width="16.4285714285714" style="56" customWidth="1"/>
    <col min="14343" max="14343" width="15.5714285714286" style="56" customWidth="1"/>
    <col min="14344" max="14344" width="11.8571428571429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9" style="56" customWidth="1"/>
    <col min="14594" max="14594" width="57.5714285714286" style="56" customWidth="1"/>
    <col min="14595" max="14595" width="20.1428571428571" style="56" customWidth="1"/>
    <col min="14596" max="14597" width="17.5714285714286" style="56" customWidth="1"/>
    <col min="14598" max="14598" width="16.4285714285714" style="56" customWidth="1"/>
    <col min="14599" max="14599" width="15.5714285714286" style="56" customWidth="1"/>
    <col min="14600" max="14600" width="11.8571428571429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9" style="56" customWidth="1"/>
    <col min="14850" max="14850" width="57.5714285714286" style="56" customWidth="1"/>
    <col min="14851" max="14851" width="20.1428571428571" style="56" customWidth="1"/>
    <col min="14852" max="14853" width="17.5714285714286" style="56" customWidth="1"/>
    <col min="14854" max="14854" width="16.4285714285714" style="56" customWidth="1"/>
    <col min="14855" max="14855" width="15.5714285714286" style="56" customWidth="1"/>
    <col min="14856" max="14856" width="11.8571428571429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9" style="56" customWidth="1"/>
    <col min="15106" max="15106" width="57.5714285714286" style="56" customWidth="1"/>
    <col min="15107" max="15107" width="20.1428571428571" style="56" customWidth="1"/>
    <col min="15108" max="15109" width="17.5714285714286" style="56" customWidth="1"/>
    <col min="15110" max="15110" width="16.4285714285714" style="56" customWidth="1"/>
    <col min="15111" max="15111" width="15.5714285714286" style="56" customWidth="1"/>
    <col min="15112" max="15112" width="11.8571428571429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9" style="56" customWidth="1"/>
    <col min="15362" max="15362" width="57.5714285714286" style="56" customWidth="1"/>
    <col min="15363" max="15363" width="20.1428571428571" style="56" customWidth="1"/>
    <col min="15364" max="15365" width="17.5714285714286" style="56" customWidth="1"/>
    <col min="15366" max="15366" width="16.4285714285714" style="56" customWidth="1"/>
    <col min="15367" max="15367" width="15.5714285714286" style="56" customWidth="1"/>
    <col min="15368" max="15368" width="11.8571428571429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9" style="56" customWidth="1"/>
    <col min="15618" max="15618" width="57.5714285714286" style="56" customWidth="1"/>
    <col min="15619" max="15619" width="20.1428571428571" style="56" customWidth="1"/>
    <col min="15620" max="15621" width="17.5714285714286" style="56" customWidth="1"/>
    <col min="15622" max="15622" width="16.4285714285714" style="56" customWidth="1"/>
    <col min="15623" max="15623" width="15.5714285714286" style="56" customWidth="1"/>
    <col min="15624" max="15624" width="11.8571428571429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9" style="56" customWidth="1"/>
    <col min="15874" max="15874" width="57.5714285714286" style="56" customWidth="1"/>
    <col min="15875" max="15875" width="20.1428571428571" style="56" customWidth="1"/>
    <col min="15876" max="15877" width="17.5714285714286" style="56" customWidth="1"/>
    <col min="15878" max="15878" width="16.4285714285714" style="56" customWidth="1"/>
    <col min="15879" max="15879" width="15.5714285714286" style="56" customWidth="1"/>
    <col min="15880" max="15880" width="11.8571428571429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9" style="56" customWidth="1"/>
    <col min="16130" max="16130" width="57.5714285714286" style="56" customWidth="1"/>
    <col min="16131" max="16131" width="20.1428571428571" style="56" customWidth="1"/>
    <col min="16132" max="16133" width="17.5714285714286" style="56" customWidth="1"/>
    <col min="16134" max="16134" width="16.4285714285714" style="56" customWidth="1"/>
    <col min="16135" max="16135" width="15.5714285714286" style="56" customWidth="1"/>
    <col min="16136" max="16136" width="11.8571428571429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15.75" hidden="1" spans="1:15">
      <c r="A1" s="61" t="s">
        <v>1</v>
      </c>
      <c r="B1" s="61"/>
      <c r="C1" s="61"/>
      <c r="D1" s="61"/>
      <c r="E1" s="61"/>
      <c r="F1" s="61"/>
      <c r="G1" s="61"/>
      <c r="H1" s="61"/>
      <c r="I1" s="140"/>
      <c r="J1" s="82"/>
      <c r="K1" s="82"/>
      <c r="L1" s="80"/>
      <c r="M1" s="80"/>
      <c r="N1" s="80"/>
      <c r="O1" s="80"/>
    </row>
    <row r="2" ht="18" hidden="1" spans="1:15">
      <c r="A2" s="60"/>
      <c r="B2" s="60"/>
      <c r="C2" s="60"/>
      <c r="D2" s="60"/>
      <c r="E2" s="60"/>
      <c r="F2" s="60"/>
      <c r="G2" s="60"/>
      <c r="H2" s="126"/>
      <c r="I2" s="141"/>
      <c r="J2" s="81"/>
      <c r="K2" s="81"/>
      <c r="L2" s="80"/>
      <c r="M2" s="80"/>
      <c r="N2" s="80"/>
      <c r="O2" s="80"/>
    </row>
    <row r="3" ht="15.75" hidden="1" customHeight="1" spans="1:15">
      <c r="A3" s="61" t="s">
        <v>31</v>
      </c>
      <c r="B3" s="61"/>
      <c r="C3" s="61"/>
      <c r="D3" s="61"/>
      <c r="E3" s="61"/>
      <c r="F3" s="61"/>
      <c r="G3" s="61"/>
      <c r="H3" s="61"/>
      <c r="I3" s="140"/>
      <c r="J3" s="82"/>
      <c r="K3" s="82"/>
      <c r="L3" s="80"/>
      <c r="M3" s="80"/>
      <c r="N3" s="80"/>
      <c r="O3" s="80"/>
    </row>
    <row r="4" ht="18" hidden="1" spans="1:15">
      <c r="A4" s="60"/>
      <c r="B4" s="60"/>
      <c r="C4" s="60"/>
      <c r="D4" s="60"/>
      <c r="E4" s="60"/>
      <c r="F4" s="60"/>
      <c r="G4" s="60"/>
      <c r="H4" s="126"/>
      <c r="I4" s="141"/>
      <c r="J4" s="81"/>
      <c r="K4" s="81"/>
      <c r="L4" s="80"/>
      <c r="M4" s="80"/>
      <c r="N4" s="80"/>
      <c r="O4" s="80"/>
    </row>
    <row r="5" ht="15.75" hidden="1" customHeight="1" spans="1:15">
      <c r="A5" s="61" t="s">
        <v>32</v>
      </c>
      <c r="B5" s="61"/>
      <c r="C5" s="61"/>
      <c r="D5" s="61"/>
      <c r="E5" s="61"/>
      <c r="F5" s="61"/>
      <c r="G5" s="61"/>
      <c r="H5" s="61"/>
      <c r="I5" s="140"/>
      <c r="J5" s="82"/>
      <c r="K5" s="82"/>
      <c r="L5" s="80"/>
      <c r="M5" s="80"/>
      <c r="N5" s="80"/>
      <c r="O5" s="80"/>
    </row>
    <row r="6" ht="18" hidden="1" spans="1:15">
      <c r="A6" s="60"/>
      <c r="B6" s="60"/>
      <c r="C6" s="60"/>
      <c r="D6" s="60"/>
      <c r="E6" s="60"/>
      <c r="F6" s="60"/>
      <c r="G6" s="60"/>
      <c r="H6" s="126"/>
      <c r="I6" s="141"/>
      <c r="J6" s="81"/>
      <c r="K6" s="81"/>
      <c r="L6" s="80"/>
      <c r="M6" s="80"/>
      <c r="N6" s="80"/>
      <c r="O6" s="80"/>
    </row>
    <row r="7" s="54" customFormat="1" ht="60" customHeight="1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142"/>
      <c r="J7" s="83"/>
      <c r="K7" s="83"/>
      <c r="L7" s="83"/>
      <c r="M7" s="83"/>
      <c r="N7" s="83"/>
      <c r="O7" s="83"/>
    </row>
    <row r="8" s="55" customFormat="1" customHeigh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143"/>
      <c r="J8" s="84"/>
      <c r="K8" s="84"/>
      <c r="L8" s="84"/>
      <c r="M8" s="85"/>
      <c r="N8" s="85"/>
      <c r="O8" s="85"/>
    </row>
    <row r="9" s="55" customFormat="1" spans="1:15">
      <c r="A9" s="127"/>
      <c r="B9" s="128" t="s">
        <v>188</v>
      </c>
      <c r="C9" s="129">
        <f>+C10+C113</f>
        <v>3848943</v>
      </c>
      <c r="D9" s="129">
        <f>+D10+D113</f>
        <v>7349870</v>
      </c>
      <c r="E9" s="129">
        <f>+E10+E113</f>
        <v>7349870</v>
      </c>
      <c r="F9" s="129">
        <f>+F10+F113</f>
        <v>4172754.9</v>
      </c>
      <c r="G9" s="129">
        <f t="shared" ref="G9:G72" si="0">+F9/C9*100</f>
        <v>108.413008454529</v>
      </c>
      <c r="H9" s="129">
        <f>+F9/D9*100</f>
        <v>56.7731796616811</v>
      </c>
      <c r="I9" s="144"/>
      <c r="J9" s="100"/>
      <c r="K9" s="100"/>
      <c r="L9" s="100"/>
      <c r="M9" s="120"/>
      <c r="N9" s="120"/>
      <c r="O9" s="120"/>
    </row>
    <row r="10" ht="20.25" customHeight="1" spans="1:15">
      <c r="A10" s="215" t="s">
        <v>189</v>
      </c>
      <c r="B10" s="216" t="s">
        <v>190</v>
      </c>
      <c r="C10" s="132">
        <f>+C11++C23+C56+C65+C73+C90+C98</f>
        <v>3747746</v>
      </c>
      <c r="D10" s="133">
        <f>+D11++D23+D56+D65+D73+D90+D98</f>
        <v>7145717</v>
      </c>
      <c r="E10" s="133">
        <f>+E11++E23+E56+E65+E73+E90+E98</f>
        <v>7145717</v>
      </c>
      <c r="F10" s="132">
        <f>+F11++F23+F56+F65+F73+F90+F98</f>
        <v>4136652.17</v>
      </c>
      <c r="G10" s="132">
        <f t="shared" si="0"/>
        <v>110.377068509979</v>
      </c>
      <c r="H10" s="132">
        <f>+F10/D10*100</f>
        <v>57.8899524008577</v>
      </c>
      <c r="I10" s="145"/>
      <c r="J10" s="103"/>
      <c r="K10" s="103"/>
      <c r="L10" s="103"/>
      <c r="M10" s="103"/>
      <c r="N10" s="103"/>
      <c r="O10" s="103"/>
    </row>
    <row r="11" spans="1:15">
      <c r="A11" s="217" t="s">
        <v>191</v>
      </c>
      <c r="B11" s="218" t="s">
        <v>192</v>
      </c>
      <c r="C11" s="96">
        <f>+C12+C17+C19</f>
        <v>2532002</v>
      </c>
      <c r="D11" s="79">
        <v>5540345</v>
      </c>
      <c r="E11" s="79">
        <v>5540345</v>
      </c>
      <c r="F11" s="96">
        <f>+F12+F17+F19</f>
        <v>2994708.5</v>
      </c>
      <c r="G11" s="96">
        <f t="shared" si="0"/>
        <v>118.274333906529</v>
      </c>
      <c r="H11" s="96">
        <f>+F11/D11*100</f>
        <v>54.052744007819</v>
      </c>
      <c r="I11" s="124"/>
      <c r="J11" s="87"/>
      <c r="K11" s="124"/>
      <c r="L11" s="87"/>
      <c r="M11" s="87"/>
      <c r="N11" s="87"/>
      <c r="O11" s="87"/>
    </row>
    <row r="12" spans="1:15">
      <c r="A12" s="219" t="s">
        <v>193</v>
      </c>
      <c r="B12" s="220" t="s">
        <v>194</v>
      </c>
      <c r="C12" s="96">
        <f>SUM(C13:C16)</f>
        <v>2049379</v>
      </c>
      <c r="D12" s="137"/>
      <c r="E12" s="137"/>
      <c r="F12" s="96">
        <f>SUM(F13:F16)</f>
        <v>2456299.85</v>
      </c>
      <c r="G12" s="96">
        <f t="shared" si="0"/>
        <v>119.855812419274</v>
      </c>
      <c r="H12" s="96"/>
      <c r="I12" s="124"/>
      <c r="J12" s="87"/>
      <c r="K12" s="124"/>
      <c r="L12" s="87"/>
      <c r="M12" s="87"/>
      <c r="N12" s="87"/>
      <c r="O12" s="87"/>
    </row>
    <row r="13" spans="1:15">
      <c r="A13" s="223" t="s">
        <v>195</v>
      </c>
      <c r="B13" s="222" t="s">
        <v>196</v>
      </c>
      <c r="C13" s="78">
        <f>1527068+522+123483+241866+31680+111446+2957</f>
        <v>2039022</v>
      </c>
      <c r="D13" s="139"/>
      <c r="E13" s="139"/>
      <c r="F13" s="78">
        <f>451514.77+1931109.55+64254.87</f>
        <v>2446879.19</v>
      </c>
      <c r="G13" s="78">
        <f t="shared" si="0"/>
        <v>120.002588986289</v>
      </c>
      <c r="H13" s="96"/>
      <c r="I13" s="146"/>
      <c r="J13" s="86"/>
      <c r="K13" s="86"/>
      <c r="L13" s="86"/>
      <c r="M13" s="87"/>
      <c r="N13" s="87"/>
      <c r="O13" s="87"/>
    </row>
    <row r="14" spans="1:15">
      <c r="A14" s="223" t="s">
        <v>197</v>
      </c>
      <c r="B14" s="222" t="s">
        <v>198</v>
      </c>
      <c r="C14" s="78">
        <f>2151+731</f>
        <v>2882</v>
      </c>
      <c r="D14" s="139"/>
      <c r="E14" s="139"/>
      <c r="F14" s="78">
        <v>4647.94</v>
      </c>
      <c r="G14" s="78">
        <f t="shared" si="0"/>
        <v>161.274809160305</v>
      </c>
      <c r="H14" s="96"/>
      <c r="I14" s="146"/>
      <c r="J14" s="86"/>
      <c r="K14" s="146"/>
      <c r="L14" s="86"/>
      <c r="M14" s="87"/>
      <c r="N14" s="87"/>
      <c r="O14" s="87"/>
    </row>
    <row r="15" spans="1:15">
      <c r="A15" s="223" t="s">
        <v>199</v>
      </c>
      <c r="B15" s="222" t="s">
        <v>200</v>
      </c>
      <c r="C15" s="78">
        <f>188+510+254+2991+2891</f>
        <v>6834</v>
      </c>
      <c r="D15" s="139"/>
      <c r="E15" s="139"/>
      <c r="F15" s="78">
        <v>4090.76</v>
      </c>
      <c r="G15" s="78">
        <f t="shared" si="0"/>
        <v>59.8589405911618</v>
      </c>
      <c r="H15" s="96"/>
      <c r="I15" s="146"/>
      <c r="J15" s="86"/>
      <c r="K15" s="86"/>
      <c r="L15" s="86"/>
      <c r="M15" s="87"/>
      <c r="N15" s="87"/>
      <c r="O15" s="87"/>
    </row>
    <row r="16" spans="1:15">
      <c r="A16" s="223" t="s">
        <v>201</v>
      </c>
      <c r="B16" s="222" t="s">
        <v>202</v>
      </c>
      <c r="C16" s="78">
        <v>641</v>
      </c>
      <c r="D16" s="139"/>
      <c r="E16" s="139"/>
      <c r="F16" s="78">
        <v>681.96</v>
      </c>
      <c r="G16" s="78">
        <f t="shared" si="0"/>
        <v>106.390015600624</v>
      </c>
      <c r="H16" s="96"/>
      <c r="I16" s="146"/>
      <c r="J16" s="86"/>
      <c r="K16" s="86"/>
      <c r="L16" s="86"/>
      <c r="M16" s="87"/>
      <c r="N16" s="87"/>
      <c r="O16" s="87"/>
    </row>
    <row r="17" spans="1:15">
      <c r="A17" s="219" t="s">
        <v>203</v>
      </c>
      <c r="B17" s="220" t="s">
        <v>204</v>
      </c>
      <c r="C17" s="96">
        <f>+C18</f>
        <v>138398</v>
      </c>
      <c r="D17" s="137"/>
      <c r="E17" s="137"/>
      <c r="F17" s="96">
        <f>+F18</f>
        <v>139823.82</v>
      </c>
      <c r="G17" s="96">
        <f t="shared" si="0"/>
        <v>101.030231650746</v>
      </c>
      <c r="H17" s="96"/>
      <c r="I17" s="124"/>
      <c r="J17" s="87"/>
      <c r="K17" s="87"/>
      <c r="L17" s="87"/>
      <c r="M17" s="87"/>
      <c r="N17" s="87"/>
      <c r="O17" s="87"/>
    </row>
    <row r="18" spans="1:15">
      <c r="A18" s="223" t="s">
        <v>205</v>
      </c>
      <c r="B18" s="222" t="s">
        <v>204</v>
      </c>
      <c r="C18" s="78">
        <f>50463+9+61805+24630+1440+51</f>
        <v>138398</v>
      </c>
      <c r="D18" s="139"/>
      <c r="E18" s="139"/>
      <c r="F18" s="78">
        <f>121701.98+441.44+441.44+12900+4338.96</f>
        <v>139823.82</v>
      </c>
      <c r="G18" s="78">
        <f t="shared" si="0"/>
        <v>101.030231650746</v>
      </c>
      <c r="H18" s="96"/>
      <c r="I18" s="146"/>
      <c r="J18" s="86"/>
      <c r="K18" s="86"/>
      <c r="L18" s="86"/>
      <c r="M18" s="87"/>
      <c r="N18" s="87"/>
      <c r="O18" s="87"/>
    </row>
    <row r="19" spans="1:15">
      <c r="A19" s="219" t="s">
        <v>206</v>
      </c>
      <c r="B19" s="220" t="s">
        <v>207</v>
      </c>
      <c r="C19" s="96">
        <f>SUM(C20:C22)</f>
        <v>344225</v>
      </c>
      <c r="D19" s="137"/>
      <c r="E19" s="137"/>
      <c r="F19" s="96">
        <f>SUM(F20:F22)</f>
        <v>398584.83</v>
      </c>
      <c r="G19" s="96">
        <f t="shared" si="0"/>
        <v>115.791947127605</v>
      </c>
      <c r="H19" s="96"/>
      <c r="I19" s="124"/>
      <c r="J19" s="87"/>
      <c r="K19" s="87"/>
      <c r="L19" s="87"/>
      <c r="M19" s="87"/>
      <c r="N19" s="87"/>
      <c r="O19" s="87"/>
    </row>
    <row r="20" spans="1:15">
      <c r="A20" s="223" t="s">
        <v>208</v>
      </c>
      <c r="B20" s="222" t="s">
        <v>209</v>
      </c>
      <c r="C20" s="78">
        <v>0</v>
      </c>
      <c r="D20" s="139"/>
      <c r="E20" s="139"/>
      <c r="F20" s="78">
        <v>7.91</v>
      </c>
      <c r="G20" s="78" t="e">
        <f t="shared" si="0"/>
        <v>#DIV/0!</v>
      </c>
      <c r="H20" s="96"/>
      <c r="I20" s="146"/>
      <c r="J20" s="86"/>
      <c r="K20" s="146"/>
      <c r="L20" s="86"/>
      <c r="M20" s="87"/>
      <c r="N20" s="87"/>
      <c r="O20" s="87"/>
    </row>
    <row r="21" spans="1:15">
      <c r="A21" s="223" t="s">
        <v>210</v>
      </c>
      <c r="B21" s="222" t="s">
        <v>211</v>
      </c>
      <c r="C21" s="78">
        <f>259494+170+20253+40007+4947+18389+965</f>
        <v>344225</v>
      </c>
      <c r="D21" s="139"/>
      <c r="E21" s="139"/>
      <c r="F21" s="78">
        <f>82885.52+315231.73+459.67</f>
        <v>398576.92</v>
      </c>
      <c r="G21" s="78">
        <f t="shared" si="0"/>
        <v>115.789649211998</v>
      </c>
      <c r="H21" s="96"/>
      <c r="I21" s="146"/>
      <c r="J21" s="86"/>
      <c r="K21" s="146"/>
      <c r="L21" s="86"/>
      <c r="M21" s="87"/>
      <c r="N21" s="87"/>
      <c r="O21" s="87"/>
    </row>
    <row r="22" spans="1:15">
      <c r="A22" s="223" t="s">
        <v>212</v>
      </c>
      <c r="B22" s="222" t="s">
        <v>213</v>
      </c>
      <c r="C22" s="78">
        <v>0</v>
      </c>
      <c r="D22" s="139"/>
      <c r="E22" s="139"/>
      <c r="F22" s="78">
        <v>0</v>
      </c>
      <c r="G22" s="78" t="e">
        <f t="shared" si="0"/>
        <v>#DIV/0!</v>
      </c>
      <c r="H22" s="96"/>
      <c r="I22" s="146"/>
      <c r="J22" s="86"/>
      <c r="K22" s="86"/>
      <c r="L22" s="86"/>
      <c r="M22" s="87"/>
      <c r="N22" s="87"/>
      <c r="O22" s="87"/>
    </row>
    <row r="23" spans="1:15">
      <c r="A23" s="217" t="s">
        <v>214</v>
      </c>
      <c r="B23" s="218" t="s">
        <v>215</v>
      </c>
      <c r="C23" s="96">
        <f>+C24+C29+C36+C46+C48</f>
        <v>1079596</v>
      </c>
      <c r="D23" s="79">
        <v>1475004</v>
      </c>
      <c r="E23" s="79">
        <v>1475004</v>
      </c>
      <c r="F23" s="96">
        <f>+F24+F29+F36+F46+F48</f>
        <v>949433.58</v>
      </c>
      <c r="G23" s="96">
        <f t="shared" si="0"/>
        <v>87.9434140178363</v>
      </c>
      <c r="H23" s="96">
        <f>+F23/D23*100</f>
        <v>64.3682037472441</v>
      </c>
      <c r="I23" s="124"/>
      <c r="J23" s="87"/>
      <c r="K23" s="87"/>
      <c r="L23" s="87"/>
      <c r="M23" s="87"/>
      <c r="N23" s="87"/>
      <c r="O23" s="87"/>
    </row>
    <row r="24" spans="1:15">
      <c r="A24" s="219" t="s">
        <v>216</v>
      </c>
      <c r="B24" s="220" t="s">
        <v>217</v>
      </c>
      <c r="C24" s="96">
        <f>SUM(C25:C28)</f>
        <v>243384</v>
      </c>
      <c r="D24" s="137"/>
      <c r="E24" s="137"/>
      <c r="F24" s="96">
        <f>SUM(F25:F28)</f>
        <v>255577.33</v>
      </c>
      <c r="G24" s="96">
        <f t="shared" si="0"/>
        <v>105.009914373993</v>
      </c>
      <c r="H24" s="96"/>
      <c r="I24" s="124"/>
      <c r="J24" s="87"/>
      <c r="K24" s="87"/>
      <c r="L24" s="87"/>
      <c r="M24" s="87"/>
      <c r="N24" s="87"/>
      <c r="O24" s="87"/>
    </row>
    <row r="25" spans="1:15">
      <c r="A25" s="223" t="s">
        <v>218</v>
      </c>
      <c r="B25" s="222" t="s">
        <v>219</v>
      </c>
      <c r="C25" s="78">
        <f>15657+511+55707+10288+22616+29072+2896+10298</f>
        <v>147045</v>
      </c>
      <c r="D25" s="139"/>
      <c r="E25" s="139"/>
      <c r="F25" s="78">
        <f>118211.98+36301.71</f>
        <v>154513.69</v>
      </c>
      <c r="G25" s="78">
        <f t="shared" si="0"/>
        <v>105.079186643545</v>
      </c>
      <c r="H25" s="96"/>
      <c r="I25" s="146"/>
      <c r="J25" s="86"/>
      <c r="K25" s="86"/>
      <c r="L25" s="86"/>
      <c r="M25" s="87"/>
      <c r="N25" s="87"/>
      <c r="O25" s="87"/>
    </row>
    <row r="26" spans="1:15">
      <c r="A26" s="223" t="s">
        <v>220</v>
      </c>
      <c r="B26" s="222" t="s">
        <v>221</v>
      </c>
      <c r="C26" s="78">
        <f>41121+46+1343+5413+2795+261</f>
        <v>50979</v>
      </c>
      <c r="D26" s="139"/>
      <c r="E26" s="139"/>
      <c r="F26" s="78">
        <f>7319.1+62081.82</f>
        <v>69400.92</v>
      </c>
      <c r="G26" s="78">
        <f t="shared" si="0"/>
        <v>136.136291414112</v>
      </c>
      <c r="H26" s="96"/>
      <c r="I26" s="146"/>
      <c r="J26" s="86"/>
      <c r="K26" s="86"/>
      <c r="L26" s="86"/>
      <c r="M26" s="87"/>
      <c r="N26" s="87"/>
      <c r="O26" s="87"/>
    </row>
    <row r="27" spans="1:15">
      <c r="A27" s="223" t="s">
        <v>222</v>
      </c>
      <c r="B27" s="222" t="s">
        <v>223</v>
      </c>
      <c r="C27" s="78">
        <f>17206+144+916+3400+2908+18119+817+1850</f>
        <v>45360</v>
      </c>
      <c r="D27" s="139"/>
      <c r="E27" s="139"/>
      <c r="F27" s="78">
        <f>12223.97+19438.75</f>
        <v>31662.72</v>
      </c>
      <c r="G27" s="78">
        <f t="shared" si="0"/>
        <v>69.8031746031746</v>
      </c>
      <c r="H27" s="96"/>
      <c r="I27" s="124"/>
      <c r="J27" s="87"/>
      <c r="K27" s="87"/>
      <c r="L27" s="87"/>
      <c r="M27" s="87"/>
      <c r="N27" s="87"/>
      <c r="O27" s="87"/>
    </row>
    <row r="28" spans="1:15">
      <c r="A28" s="223" t="s">
        <v>224</v>
      </c>
      <c r="B28" s="222" t="s">
        <v>225</v>
      </c>
      <c r="C28" s="78">
        <v>0</v>
      </c>
      <c r="D28" s="139"/>
      <c r="E28" s="139"/>
      <c r="F28" s="78">
        <v>0</v>
      </c>
      <c r="G28" s="78" t="e">
        <f t="shared" si="0"/>
        <v>#DIV/0!</v>
      </c>
      <c r="H28" s="96"/>
      <c r="I28" s="124"/>
      <c r="J28" s="87"/>
      <c r="K28" s="87"/>
      <c r="L28" s="87"/>
      <c r="M28" s="87"/>
      <c r="N28" s="87"/>
      <c r="O28" s="87"/>
    </row>
    <row r="29" spans="1:15">
      <c r="A29" s="219" t="s">
        <v>226</v>
      </c>
      <c r="B29" s="220" t="s">
        <v>227</v>
      </c>
      <c r="C29" s="96">
        <f>SUM(C30:C35)</f>
        <v>124853</v>
      </c>
      <c r="D29" s="137"/>
      <c r="E29" s="137"/>
      <c r="F29" s="96">
        <f>SUM(F30:F35)</f>
        <v>73014.39</v>
      </c>
      <c r="G29" s="96">
        <f t="shared" si="0"/>
        <v>58.4802848149424</v>
      </c>
      <c r="H29" s="96"/>
      <c r="I29" s="124"/>
      <c r="J29" s="87"/>
      <c r="K29" s="87"/>
      <c r="L29" s="87"/>
      <c r="M29" s="87"/>
      <c r="N29" s="87"/>
      <c r="O29" s="87"/>
    </row>
    <row r="30" spans="1:15">
      <c r="A30" s="223" t="s">
        <v>228</v>
      </c>
      <c r="B30" s="222" t="s">
        <v>229</v>
      </c>
      <c r="C30" s="78">
        <f>19689+11+502+3971+27+1564+62+7</f>
        <v>25833</v>
      </c>
      <c r="D30" s="139"/>
      <c r="E30" s="139"/>
      <c r="F30" s="78">
        <f>1098.28+16877.24</f>
        <v>17975.52</v>
      </c>
      <c r="G30" s="78">
        <f t="shared" si="0"/>
        <v>69.5835559168505</v>
      </c>
      <c r="H30" s="96"/>
      <c r="I30" s="124"/>
      <c r="J30" s="87"/>
      <c r="K30" s="87"/>
      <c r="L30" s="87"/>
      <c r="M30" s="87"/>
      <c r="N30" s="87"/>
      <c r="O30" s="87"/>
    </row>
    <row r="31" spans="1:15">
      <c r="A31" s="223" t="s">
        <v>230</v>
      </c>
      <c r="B31" s="222" t="s">
        <v>231</v>
      </c>
      <c r="C31" s="78">
        <v>0</v>
      </c>
      <c r="D31" s="139"/>
      <c r="E31" s="139"/>
      <c r="F31" s="78">
        <v>0</v>
      </c>
      <c r="G31" s="78" t="e">
        <f t="shared" si="0"/>
        <v>#DIV/0!</v>
      </c>
      <c r="H31" s="96"/>
      <c r="I31" s="124"/>
      <c r="J31" s="87"/>
      <c r="K31" s="87"/>
      <c r="L31" s="87"/>
      <c r="M31" s="87"/>
      <c r="N31" s="87"/>
      <c r="O31" s="87"/>
    </row>
    <row r="32" spans="1:15">
      <c r="A32" s="223" t="s">
        <v>232</v>
      </c>
      <c r="B32" s="222" t="s">
        <v>233</v>
      </c>
      <c r="C32" s="78">
        <f>67439+928+9995+248+1046</f>
        <v>79656</v>
      </c>
      <c r="D32" s="139"/>
      <c r="E32" s="139"/>
      <c r="F32" s="78">
        <f>2623.3+33803.03</f>
        <v>36426.33</v>
      </c>
      <c r="G32" s="78">
        <f t="shared" si="0"/>
        <v>45.7295495631214</v>
      </c>
      <c r="H32" s="96"/>
      <c r="I32" s="124"/>
      <c r="J32" s="87"/>
      <c r="K32" s="87"/>
      <c r="L32" s="87"/>
      <c r="M32" s="87"/>
      <c r="N32" s="87"/>
      <c r="O32" s="87"/>
    </row>
    <row r="33" spans="1:15">
      <c r="A33" s="223" t="s">
        <v>234</v>
      </c>
      <c r="B33" s="222" t="s">
        <v>235</v>
      </c>
      <c r="C33" s="78">
        <f>10582+15+5680+1138+363+881+85</f>
        <v>18744</v>
      </c>
      <c r="D33" s="139"/>
      <c r="E33" s="139"/>
      <c r="F33" s="78">
        <f>3202.69+14605</f>
        <v>17807.69</v>
      </c>
      <c r="G33" s="78">
        <f t="shared" si="0"/>
        <v>95.0047481860862</v>
      </c>
      <c r="H33" s="96"/>
      <c r="I33" s="124"/>
      <c r="J33" s="87"/>
      <c r="K33" s="87"/>
      <c r="L33" s="87"/>
      <c r="M33" s="87"/>
      <c r="N33" s="87"/>
      <c r="O33" s="87"/>
    </row>
    <row r="34" spans="1:15">
      <c r="A34" s="223" t="s">
        <v>236</v>
      </c>
      <c r="B34" s="222" t="s">
        <v>237</v>
      </c>
      <c r="C34" s="78">
        <v>274</v>
      </c>
      <c r="D34" s="139"/>
      <c r="E34" s="139"/>
      <c r="F34" s="78">
        <v>0</v>
      </c>
      <c r="G34" s="78">
        <f t="shared" si="0"/>
        <v>0</v>
      </c>
      <c r="H34" s="96"/>
      <c r="I34" s="124"/>
      <c r="J34" s="87"/>
      <c r="K34" s="87"/>
      <c r="L34" s="87"/>
      <c r="M34" s="87"/>
      <c r="N34" s="87"/>
      <c r="O34" s="87"/>
    </row>
    <row r="35" spans="1:15">
      <c r="A35" s="223" t="s">
        <v>238</v>
      </c>
      <c r="B35" s="222" t="s">
        <v>239</v>
      </c>
      <c r="C35" s="78">
        <f>121+225</f>
        <v>346</v>
      </c>
      <c r="D35" s="139"/>
      <c r="E35" s="139"/>
      <c r="F35" s="78">
        <v>804.85</v>
      </c>
      <c r="G35" s="78">
        <f t="shared" si="0"/>
        <v>232.615606936416</v>
      </c>
      <c r="H35" s="96"/>
      <c r="I35" s="124"/>
      <c r="J35" s="87"/>
      <c r="K35" s="87"/>
      <c r="L35" s="87"/>
      <c r="M35" s="87"/>
      <c r="N35" s="87"/>
      <c r="O35" s="87"/>
    </row>
    <row r="36" spans="1:15">
      <c r="A36" s="219" t="s">
        <v>240</v>
      </c>
      <c r="B36" s="220" t="s">
        <v>241</v>
      </c>
      <c r="C36" s="96">
        <f>SUM(C37:C45)</f>
        <v>604438</v>
      </c>
      <c r="D36" s="137"/>
      <c r="E36" s="137"/>
      <c r="F36" s="96">
        <f>SUM(F37:F45)</f>
        <v>548111.62</v>
      </c>
      <c r="G36" s="96">
        <f t="shared" si="0"/>
        <v>90.6811980715971</v>
      </c>
      <c r="H36" s="96"/>
      <c r="I36" s="124"/>
      <c r="J36" s="87"/>
      <c r="K36" s="87"/>
      <c r="L36" s="87"/>
      <c r="M36" s="87"/>
      <c r="N36" s="87"/>
      <c r="O36" s="87"/>
    </row>
    <row r="37" spans="1:15">
      <c r="A37" s="223" t="s">
        <v>242</v>
      </c>
      <c r="B37" s="222" t="s">
        <v>243</v>
      </c>
      <c r="C37" s="78">
        <f>11347+47+542+2678+383+1941+12979</f>
        <v>29917</v>
      </c>
      <c r="D37" s="139"/>
      <c r="E37" s="139"/>
      <c r="F37" s="78">
        <f>12182.68+13741.95</f>
        <v>25924.63</v>
      </c>
      <c r="G37" s="78">
        <f t="shared" si="0"/>
        <v>86.6551793294782</v>
      </c>
      <c r="H37" s="96"/>
      <c r="I37" s="124"/>
      <c r="J37" s="87"/>
      <c r="K37" s="87"/>
      <c r="L37" s="87"/>
      <c r="M37" s="87"/>
      <c r="N37" s="87"/>
      <c r="O37" s="87"/>
    </row>
    <row r="38" spans="1:15">
      <c r="A38" s="223" t="s">
        <v>244</v>
      </c>
      <c r="B38" s="222" t="s">
        <v>245</v>
      </c>
      <c r="C38" s="78">
        <f>13893+3385+1251+264</f>
        <v>18793</v>
      </c>
      <c r="D38" s="139"/>
      <c r="E38" s="139"/>
      <c r="F38" s="78">
        <f>1349.36+31328.67</f>
        <v>32678.03</v>
      </c>
      <c r="G38" s="78">
        <f t="shared" si="0"/>
        <v>173.884052572766</v>
      </c>
      <c r="H38" s="96"/>
      <c r="I38" s="124"/>
      <c r="J38" s="87"/>
      <c r="K38" s="87"/>
      <c r="L38" s="87"/>
      <c r="M38" s="87"/>
      <c r="N38" s="87"/>
      <c r="O38" s="87"/>
    </row>
    <row r="39" spans="1:15">
      <c r="A39" s="223" t="s">
        <v>246</v>
      </c>
      <c r="B39" s="222" t="s">
        <v>247</v>
      </c>
      <c r="C39" s="78">
        <f>28271+126+10695+17531+498+1016+712+498</f>
        <v>59347</v>
      </c>
      <c r="D39" s="139"/>
      <c r="E39" s="139"/>
      <c r="F39" s="78">
        <f>20152.2+4855.76</f>
        <v>25007.96</v>
      </c>
      <c r="G39" s="78">
        <f t="shared" si="0"/>
        <v>42.1385411225504</v>
      </c>
      <c r="H39" s="96"/>
      <c r="I39" s="124"/>
      <c r="J39" s="87"/>
      <c r="K39" s="87"/>
      <c r="L39" s="87"/>
      <c r="M39" s="87"/>
      <c r="N39" s="87"/>
      <c r="O39" s="87"/>
    </row>
    <row r="40" spans="1:15">
      <c r="A40" s="223" t="s">
        <v>248</v>
      </c>
      <c r="B40" s="222" t="s">
        <v>249</v>
      </c>
      <c r="C40" s="78">
        <f>7061+7+816</f>
        <v>7884</v>
      </c>
      <c r="D40" s="139"/>
      <c r="E40" s="139"/>
      <c r="F40" s="78">
        <f>161.43+11139.47</f>
        <v>11300.9</v>
      </c>
      <c r="G40" s="78">
        <f t="shared" si="0"/>
        <v>143.33967529173</v>
      </c>
      <c r="H40" s="96"/>
      <c r="I40" s="124"/>
      <c r="J40" s="87"/>
      <c r="K40" s="87"/>
      <c r="L40" s="87"/>
      <c r="M40" s="87"/>
      <c r="N40" s="87"/>
      <c r="O40" s="87"/>
    </row>
    <row r="41" spans="1:15">
      <c r="A41" s="223" t="s">
        <v>250</v>
      </c>
      <c r="B41" s="222" t="s">
        <v>251</v>
      </c>
      <c r="C41" s="78">
        <f>19298+75+3400+12335+239+2092+425+2472</f>
        <v>40336</v>
      </c>
      <c r="D41" s="139"/>
      <c r="E41" s="139"/>
      <c r="F41" s="78">
        <f>36634.72+12463.07</f>
        <v>49097.79</v>
      </c>
      <c r="G41" s="78">
        <f t="shared" si="0"/>
        <v>121.722010115034</v>
      </c>
      <c r="H41" s="96"/>
      <c r="I41" s="124"/>
      <c r="J41" s="87"/>
      <c r="K41" s="87"/>
      <c r="L41" s="87"/>
      <c r="M41" s="87"/>
      <c r="N41" s="87"/>
      <c r="O41" s="87"/>
    </row>
    <row r="42" spans="1:15">
      <c r="A42" s="223" t="s">
        <v>252</v>
      </c>
      <c r="B42" s="222" t="s">
        <v>253</v>
      </c>
      <c r="C42" s="78">
        <v>0</v>
      </c>
      <c r="D42" s="139"/>
      <c r="E42" s="139"/>
      <c r="F42" s="78">
        <v>0</v>
      </c>
      <c r="G42" s="78" t="e">
        <f t="shared" si="0"/>
        <v>#DIV/0!</v>
      </c>
      <c r="H42" s="96"/>
      <c r="I42" s="124"/>
      <c r="J42" s="87"/>
      <c r="K42" s="87"/>
      <c r="L42" s="87"/>
      <c r="M42" s="87"/>
      <c r="N42" s="87"/>
      <c r="O42" s="87"/>
    </row>
    <row r="43" spans="1:15">
      <c r="A43" s="223" t="s">
        <v>254</v>
      </c>
      <c r="B43" s="222" t="s">
        <v>255</v>
      </c>
      <c r="C43" s="78">
        <f>76892+927+172130+55139+33518+20979+5255+888</f>
        <v>365728</v>
      </c>
      <c r="D43" s="139"/>
      <c r="E43" s="139"/>
      <c r="F43" s="78">
        <f>299985.01+79380.3</f>
        <v>379365.31</v>
      </c>
      <c r="G43" s="78">
        <f t="shared" si="0"/>
        <v>103.72881212267</v>
      </c>
      <c r="H43" s="96"/>
      <c r="I43" s="124"/>
      <c r="J43" s="87"/>
      <c r="K43" s="87"/>
      <c r="L43" s="87"/>
      <c r="M43" s="87"/>
      <c r="N43" s="87"/>
      <c r="O43" s="87"/>
    </row>
    <row r="44" spans="1:15">
      <c r="A44" s="223" t="s">
        <v>256</v>
      </c>
      <c r="B44" s="222" t="s">
        <v>257</v>
      </c>
      <c r="C44" s="78">
        <v>201</v>
      </c>
      <c r="D44" s="139"/>
      <c r="E44" s="139"/>
      <c r="F44" s="78">
        <v>48.89</v>
      </c>
      <c r="G44" s="78">
        <f t="shared" si="0"/>
        <v>24.3233830845771</v>
      </c>
      <c r="H44" s="96"/>
      <c r="I44" s="124"/>
      <c r="J44" s="87"/>
      <c r="K44" s="87"/>
      <c r="L44" s="87"/>
      <c r="M44" s="87"/>
      <c r="N44" s="87"/>
      <c r="O44" s="87"/>
    </row>
    <row r="45" spans="1:15">
      <c r="A45" s="223" t="s">
        <v>258</v>
      </c>
      <c r="B45" s="222" t="s">
        <v>259</v>
      </c>
      <c r="C45" s="78">
        <f>29532+836+19814+16139+894+1077+4740+9200</f>
        <v>82232</v>
      </c>
      <c r="D45" s="139"/>
      <c r="E45" s="139"/>
      <c r="F45" s="78">
        <v>24688.11</v>
      </c>
      <c r="G45" s="78">
        <f t="shared" si="0"/>
        <v>30.0225094853585</v>
      </c>
      <c r="H45" s="96"/>
      <c r="I45" s="124"/>
      <c r="J45" s="87"/>
      <c r="K45" s="87"/>
      <c r="L45" s="87"/>
      <c r="M45" s="87"/>
      <c r="N45" s="87"/>
      <c r="O45" s="87"/>
    </row>
    <row r="46" spans="1:15">
      <c r="A46" s="219" t="s">
        <v>260</v>
      </c>
      <c r="B46" s="220" t="s">
        <v>261</v>
      </c>
      <c r="C46" s="96">
        <f>+C47</f>
        <v>11022</v>
      </c>
      <c r="D46" s="137"/>
      <c r="E46" s="137"/>
      <c r="F46" s="96">
        <f>+F47</f>
        <v>2351.67</v>
      </c>
      <c r="G46" s="96">
        <f t="shared" si="0"/>
        <v>21.3361458900381</v>
      </c>
      <c r="H46" s="96"/>
      <c r="I46" s="124"/>
      <c r="J46" s="87"/>
      <c r="K46" s="87"/>
      <c r="L46" s="87"/>
      <c r="M46" s="87"/>
      <c r="N46" s="87"/>
      <c r="O46" s="87"/>
    </row>
    <row r="47" spans="1:15">
      <c r="A47" s="223" t="s">
        <v>262</v>
      </c>
      <c r="B47" s="222" t="s">
        <v>261</v>
      </c>
      <c r="C47" s="78">
        <f>863+2681+1066+2530+2969+913</f>
        <v>11022</v>
      </c>
      <c r="D47" s="139"/>
      <c r="E47" s="139"/>
      <c r="F47" s="78">
        <v>2351.67</v>
      </c>
      <c r="G47" s="78">
        <f t="shared" si="0"/>
        <v>21.3361458900381</v>
      </c>
      <c r="H47" s="96"/>
      <c r="I47" s="124"/>
      <c r="J47" s="87"/>
      <c r="K47" s="87"/>
      <c r="L47" s="87"/>
      <c r="M47" s="87"/>
      <c r="N47" s="87"/>
      <c r="O47" s="87"/>
    </row>
    <row r="48" spans="1:15">
      <c r="A48" s="219" t="s">
        <v>263</v>
      </c>
      <c r="B48" s="220" t="s">
        <v>264</v>
      </c>
      <c r="C48" s="96">
        <f>SUM(C49:C55)</f>
        <v>95899</v>
      </c>
      <c r="D48" s="137"/>
      <c r="E48" s="137"/>
      <c r="F48" s="96">
        <f>SUM(F49:F55)</f>
        <v>70378.57</v>
      </c>
      <c r="G48" s="96">
        <f t="shared" si="0"/>
        <v>73.3882209407815</v>
      </c>
      <c r="H48" s="96"/>
      <c r="I48" s="124"/>
      <c r="J48" s="87"/>
      <c r="K48" s="87"/>
      <c r="L48" s="87"/>
      <c r="M48" s="87"/>
      <c r="N48" s="87"/>
      <c r="O48" s="87"/>
    </row>
    <row r="49" ht="25.5" spans="1:15">
      <c r="A49" s="223" t="s">
        <v>265</v>
      </c>
      <c r="B49" s="222" t="s">
        <v>266</v>
      </c>
      <c r="C49" s="78">
        <v>0</v>
      </c>
      <c r="D49" s="139"/>
      <c r="E49" s="139"/>
      <c r="F49" s="78">
        <v>0</v>
      </c>
      <c r="G49" s="78" t="e">
        <f t="shared" si="0"/>
        <v>#DIV/0!</v>
      </c>
      <c r="H49" s="96"/>
      <c r="I49" s="124"/>
      <c r="J49" s="87"/>
      <c r="K49" s="87"/>
      <c r="L49" s="87"/>
      <c r="M49" s="87"/>
      <c r="N49" s="87"/>
      <c r="O49" s="87"/>
    </row>
    <row r="50" spans="1:15">
      <c r="A50" s="223" t="s">
        <v>267</v>
      </c>
      <c r="B50" s="222" t="s">
        <v>268</v>
      </c>
      <c r="C50" s="78">
        <f>280+100</f>
        <v>380</v>
      </c>
      <c r="D50" s="139"/>
      <c r="E50" s="139"/>
      <c r="F50" s="78">
        <v>154.5</v>
      </c>
      <c r="G50" s="78">
        <f t="shared" si="0"/>
        <v>40.6578947368421</v>
      </c>
      <c r="H50" s="96"/>
      <c r="I50" s="124"/>
      <c r="J50" s="87"/>
      <c r="K50" s="87"/>
      <c r="L50" s="87"/>
      <c r="M50" s="87"/>
      <c r="N50" s="87"/>
      <c r="O50" s="87"/>
    </row>
    <row r="51" spans="1:15">
      <c r="A51" s="223" t="s">
        <v>269</v>
      </c>
      <c r="B51" s="222" t="s">
        <v>270</v>
      </c>
      <c r="C51" s="78">
        <f>150+593+22427+4445+4485+3825+3359+2918</f>
        <v>42202</v>
      </c>
      <c r="D51" s="139"/>
      <c r="E51" s="139"/>
      <c r="F51" s="78">
        <v>25775.01</v>
      </c>
      <c r="G51" s="78">
        <f t="shared" si="0"/>
        <v>61.0753281834984</v>
      </c>
      <c r="H51" s="96"/>
      <c r="I51" s="124"/>
      <c r="J51" s="87"/>
      <c r="K51" s="87"/>
      <c r="L51" s="87"/>
      <c r="M51" s="87"/>
      <c r="N51" s="87"/>
      <c r="O51" s="87"/>
    </row>
    <row r="52" spans="1:15">
      <c r="A52" s="223" t="s">
        <v>271</v>
      </c>
      <c r="B52" s="222" t="s">
        <v>272</v>
      </c>
      <c r="C52" s="78">
        <f>12005+432+1982+194</f>
        <v>14613</v>
      </c>
      <c r="D52" s="139"/>
      <c r="E52" s="139"/>
      <c r="F52" s="78">
        <f>3252.34+2404.18+3117.81</f>
        <v>8774.33</v>
      </c>
      <c r="G52" s="78">
        <f t="shared" si="0"/>
        <v>60.044686238281</v>
      </c>
      <c r="H52" s="96"/>
      <c r="I52" s="124"/>
      <c r="J52" s="87"/>
      <c r="K52" s="87"/>
      <c r="L52" s="87"/>
      <c r="M52" s="87"/>
      <c r="N52" s="87"/>
      <c r="O52" s="87"/>
    </row>
    <row r="53" spans="1:15">
      <c r="A53" s="223" t="s">
        <v>273</v>
      </c>
      <c r="B53" s="222" t="s">
        <v>274</v>
      </c>
      <c r="C53" s="78">
        <f>2890+19+120</f>
        <v>3029</v>
      </c>
      <c r="D53" s="139"/>
      <c r="E53" s="139"/>
      <c r="F53" s="78">
        <f>1121.99+2940</f>
        <v>4061.99</v>
      </c>
      <c r="G53" s="78">
        <f t="shared" si="0"/>
        <v>134.103334433807</v>
      </c>
      <c r="H53" s="96"/>
      <c r="I53" s="124"/>
      <c r="J53" s="87"/>
      <c r="K53" s="87"/>
      <c r="L53" s="87"/>
      <c r="M53" s="87"/>
      <c r="N53" s="87"/>
      <c r="O53" s="87"/>
    </row>
    <row r="54" spans="1:15">
      <c r="A54" s="223" t="s">
        <v>275</v>
      </c>
      <c r="B54" s="222" t="s">
        <v>276</v>
      </c>
      <c r="C54" s="78">
        <v>0</v>
      </c>
      <c r="D54" s="139"/>
      <c r="E54" s="139"/>
      <c r="F54" s="78">
        <v>0</v>
      </c>
      <c r="G54" s="78" t="e">
        <f t="shared" si="0"/>
        <v>#DIV/0!</v>
      </c>
      <c r="H54" s="96"/>
      <c r="I54" s="124"/>
      <c r="J54" s="87"/>
      <c r="K54" s="87"/>
      <c r="L54" s="87"/>
      <c r="M54" s="87"/>
      <c r="N54" s="87"/>
      <c r="O54" s="87"/>
    </row>
    <row r="55" spans="1:15">
      <c r="A55" s="223" t="s">
        <v>277</v>
      </c>
      <c r="B55" s="222" t="s">
        <v>264</v>
      </c>
      <c r="C55" s="78">
        <f>3346+31+4951+21726+1608+67+173+3773</f>
        <v>35675</v>
      </c>
      <c r="D55" s="139"/>
      <c r="E55" s="139"/>
      <c r="F55" s="78">
        <v>31612.74</v>
      </c>
      <c r="G55" s="78">
        <f t="shared" si="0"/>
        <v>88.6131464611072</v>
      </c>
      <c r="H55" s="96"/>
      <c r="I55" s="124"/>
      <c r="J55" s="87"/>
      <c r="K55" s="87"/>
      <c r="L55" s="87"/>
      <c r="M55" s="87"/>
      <c r="N55" s="87"/>
      <c r="O55" s="87"/>
    </row>
    <row r="56" spans="1:15">
      <c r="A56" s="217" t="s">
        <v>278</v>
      </c>
      <c r="B56" s="218" t="s">
        <v>279</v>
      </c>
      <c r="C56" s="96">
        <f>+C57+C60</f>
        <v>6751</v>
      </c>
      <c r="D56" s="79">
        <v>9655</v>
      </c>
      <c r="E56" s="79">
        <v>9655</v>
      </c>
      <c r="F56" s="96">
        <f>+F57+F60</f>
        <v>4577.37</v>
      </c>
      <c r="G56" s="96">
        <f t="shared" si="0"/>
        <v>67.8028440231077</v>
      </c>
      <c r="H56" s="96">
        <f>+F56/D56*100</f>
        <v>47.4093215950285</v>
      </c>
      <c r="I56" s="124"/>
      <c r="J56" s="87"/>
      <c r="K56" s="87"/>
      <c r="L56" s="87"/>
      <c r="M56" s="87"/>
      <c r="N56" s="87"/>
      <c r="O56" s="87"/>
    </row>
    <row r="57" spans="1:15">
      <c r="A57" s="219" t="s">
        <v>280</v>
      </c>
      <c r="B57" s="220" t="s">
        <v>281</v>
      </c>
      <c r="C57" s="96">
        <f>+C58+C59</f>
        <v>0</v>
      </c>
      <c r="D57" s="137"/>
      <c r="E57" s="137"/>
      <c r="F57" s="96">
        <f>+F58+F59</f>
        <v>0</v>
      </c>
      <c r="G57" s="96" t="e">
        <f t="shared" si="0"/>
        <v>#DIV/0!</v>
      </c>
      <c r="H57" s="96"/>
      <c r="I57" s="124"/>
      <c r="J57" s="87"/>
      <c r="K57" s="87"/>
      <c r="L57" s="87"/>
      <c r="M57" s="87"/>
      <c r="N57" s="87"/>
      <c r="O57" s="87"/>
    </row>
    <row r="58" ht="25.5" spans="1:15">
      <c r="A58" s="223" t="s">
        <v>282</v>
      </c>
      <c r="B58" s="222" t="s">
        <v>283</v>
      </c>
      <c r="C58" s="78">
        <v>0</v>
      </c>
      <c r="D58" s="139"/>
      <c r="E58" s="139"/>
      <c r="F58" s="78">
        <v>0</v>
      </c>
      <c r="G58" s="78" t="e">
        <f t="shared" si="0"/>
        <v>#DIV/0!</v>
      </c>
      <c r="H58" s="96"/>
      <c r="I58" s="124"/>
      <c r="J58" s="87"/>
      <c r="K58" s="87"/>
      <c r="L58" s="87"/>
      <c r="M58" s="87"/>
      <c r="N58" s="87"/>
      <c r="O58" s="87"/>
    </row>
    <row r="59" ht="25.5" spans="1:15">
      <c r="A59" s="223" t="s">
        <v>284</v>
      </c>
      <c r="B59" s="222" t="s">
        <v>285</v>
      </c>
      <c r="C59" s="78">
        <v>0</v>
      </c>
      <c r="D59" s="139"/>
      <c r="E59" s="139"/>
      <c r="F59" s="78">
        <v>0</v>
      </c>
      <c r="G59" s="78" t="e">
        <f t="shared" si="0"/>
        <v>#DIV/0!</v>
      </c>
      <c r="H59" s="96"/>
      <c r="I59" s="124"/>
      <c r="J59" s="87"/>
      <c r="K59" s="87"/>
      <c r="L59" s="87"/>
      <c r="M59" s="87"/>
      <c r="N59" s="87"/>
      <c r="O59" s="87"/>
    </row>
    <row r="60" spans="1:15">
      <c r="A60" s="219" t="s">
        <v>286</v>
      </c>
      <c r="B60" s="220" t="s">
        <v>287</v>
      </c>
      <c r="C60" s="96">
        <f>SUM(C61:C64)</f>
        <v>6751</v>
      </c>
      <c r="D60" s="137"/>
      <c r="E60" s="137"/>
      <c r="F60" s="96">
        <f>SUM(F61:F64)</f>
        <v>4577.37</v>
      </c>
      <c r="G60" s="96">
        <f t="shared" si="0"/>
        <v>67.8028440231077</v>
      </c>
      <c r="H60" s="96"/>
      <c r="I60" s="124"/>
      <c r="J60" s="87"/>
      <c r="K60" s="87"/>
      <c r="L60" s="87"/>
      <c r="M60" s="87"/>
      <c r="N60" s="87"/>
      <c r="O60" s="87"/>
    </row>
    <row r="61" spans="1:15">
      <c r="A61" s="223" t="s">
        <v>288</v>
      </c>
      <c r="B61" s="222" t="s">
        <v>289</v>
      </c>
      <c r="C61" s="78">
        <f>1653+22+1986+710+221+123</f>
        <v>4715</v>
      </c>
      <c r="D61" s="139"/>
      <c r="E61" s="139"/>
      <c r="F61" s="78">
        <f>1117.97+3422.05</f>
        <v>4540.02</v>
      </c>
      <c r="G61" s="78">
        <f t="shared" si="0"/>
        <v>96.2888653234359</v>
      </c>
      <c r="H61" s="96"/>
      <c r="I61" s="124"/>
      <c r="J61" s="87"/>
      <c r="K61" s="87"/>
      <c r="L61" s="87"/>
      <c r="M61" s="87"/>
      <c r="N61" s="87"/>
      <c r="O61" s="87"/>
    </row>
    <row r="62" ht="25.5" spans="1:15">
      <c r="A62" s="223" t="s">
        <v>290</v>
      </c>
      <c r="B62" s="222" t="s">
        <v>291</v>
      </c>
      <c r="C62" s="78">
        <f>82+1954</f>
        <v>2036</v>
      </c>
      <c r="D62" s="139"/>
      <c r="E62" s="139"/>
      <c r="F62" s="78">
        <v>37.35</v>
      </c>
      <c r="G62" s="78">
        <f t="shared" si="0"/>
        <v>1.83447937131631</v>
      </c>
      <c r="H62" s="96"/>
      <c r="I62" s="124"/>
      <c r="J62" s="87"/>
      <c r="K62" s="87"/>
      <c r="L62" s="87"/>
      <c r="M62" s="87"/>
      <c r="N62" s="87"/>
      <c r="O62" s="87"/>
    </row>
    <row r="63" spans="1:15">
      <c r="A63" s="223" t="s">
        <v>292</v>
      </c>
      <c r="B63" s="222" t="s">
        <v>293</v>
      </c>
      <c r="C63" s="78">
        <v>0</v>
      </c>
      <c r="D63" s="139"/>
      <c r="E63" s="139"/>
      <c r="F63" s="78">
        <v>0</v>
      </c>
      <c r="G63" s="78" t="e">
        <f t="shared" si="0"/>
        <v>#DIV/0!</v>
      </c>
      <c r="H63" s="96"/>
      <c r="I63" s="124"/>
      <c r="J63" s="87"/>
      <c r="K63" s="87"/>
      <c r="L63" s="87"/>
      <c r="M63" s="87"/>
      <c r="N63" s="87"/>
      <c r="O63" s="87"/>
    </row>
    <row r="64" spans="1:15">
      <c r="A64" s="223" t="s">
        <v>294</v>
      </c>
      <c r="B64" s="222" t="s">
        <v>295</v>
      </c>
      <c r="C64" s="78">
        <v>0</v>
      </c>
      <c r="D64" s="139"/>
      <c r="E64" s="139"/>
      <c r="F64" s="78">
        <v>0</v>
      </c>
      <c r="G64" s="78" t="e">
        <f t="shared" si="0"/>
        <v>#DIV/0!</v>
      </c>
      <c r="H64" s="96"/>
      <c r="I64" s="124"/>
      <c r="J64" s="87"/>
      <c r="K64" s="87"/>
      <c r="L64" s="87"/>
      <c r="M64" s="87"/>
      <c r="N64" s="87"/>
      <c r="O64" s="87"/>
    </row>
    <row r="65" spans="1:15">
      <c r="A65" s="217" t="s">
        <v>296</v>
      </c>
      <c r="B65" s="218" t="s">
        <v>297</v>
      </c>
      <c r="C65" s="96">
        <f>+C66+C68+C71</f>
        <v>672</v>
      </c>
      <c r="D65" s="79">
        <v>0</v>
      </c>
      <c r="E65" s="79">
        <v>0</v>
      </c>
      <c r="F65" s="96">
        <f>+F66+F68+F71</f>
        <v>0</v>
      </c>
      <c r="G65" s="96">
        <f t="shared" si="0"/>
        <v>0</v>
      </c>
      <c r="H65" s="96" t="e">
        <f>+F65/D65*100</f>
        <v>#DIV/0!</v>
      </c>
      <c r="I65" s="124"/>
      <c r="J65" s="87"/>
      <c r="K65" s="87"/>
      <c r="L65" s="87"/>
      <c r="M65" s="87"/>
      <c r="N65" s="87"/>
      <c r="O65" s="87"/>
    </row>
    <row r="66" spans="1:15">
      <c r="A66" s="219" t="s">
        <v>298</v>
      </c>
      <c r="B66" s="220" t="s">
        <v>299</v>
      </c>
      <c r="C66" s="96">
        <f>+C67</f>
        <v>0</v>
      </c>
      <c r="D66" s="137"/>
      <c r="E66" s="137"/>
      <c r="F66" s="96">
        <f>+F67</f>
        <v>0</v>
      </c>
      <c r="G66" s="96" t="e">
        <f t="shared" si="0"/>
        <v>#DIV/0!</v>
      </c>
      <c r="H66" s="96"/>
      <c r="I66" s="124"/>
      <c r="J66" s="87"/>
      <c r="K66" s="87"/>
      <c r="L66" s="87"/>
      <c r="M66" s="87"/>
      <c r="N66" s="87"/>
      <c r="O66" s="87"/>
    </row>
    <row r="67" ht="25.5" spans="1:15">
      <c r="A67" s="223" t="s">
        <v>300</v>
      </c>
      <c r="B67" s="222" t="s">
        <v>301</v>
      </c>
      <c r="C67" s="78">
        <v>0</v>
      </c>
      <c r="D67" s="139"/>
      <c r="E67" s="139"/>
      <c r="F67" s="78">
        <v>0</v>
      </c>
      <c r="G67" s="99" t="e">
        <f t="shared" si="0"/>
        <v>#DIV/0!</v>
      </c>
      <c r="H67" s="96"/>
      <c r="I67" s="124"/>
      <c r="J67" s="87"/>
      <c r="K67" s="87"/>
      <c r="L67" s="87"/>
      <c r="M67" s="87"/>
      <c r="N67" s="87"/>
      <c r="O67" s="87"/>
    </row>
    <row r="68" ht="25.5" spans="1:15">
      <c r="A68" s="219" t="s">
        <v>302</v>
      </c>
      <c r="B68" s="220" t="s">
        <v>303</v>
      </c>
      <c r="C68" s="96">
        <f>+C69+C70</f>
        <v>0</v>
      </c>
      <c r="D68" s="137"/>
      <c r="E68" s="137"/>
      <c r="F68" s="96">
        <f>+F69+F70</f>
        <v>0</v>
      </c>
      <c r="G68" s="96" t="e">
        <f t="shared" si="0"/>
        <v>#DIV/0!</v>
      </c>
      <c r="H68" s="96"/>
      <c r="I68" s="124"/>
      <c r="J68" s="87"/>
      <c r="K68" s="87"/>
      <c r="L68" s="87"/>
      <c r="M68" s="87"/>
      <c r="N68" s="87"/>
      <c r="O68" s="87"/>
    </row>
    <row r="69" ht="25.5" spans="1:15">
      <c r="A69" s="223" t="s">
        <v>304</v>
      </c>
      <c r="B69" s="222" t="s">
        <v>305</v>
      </c>
      <c r="C69" s="78">
        <v>0</v>
      </c>
      <c r="D69" s="139"/>
      <c r="E69" s="139"/>
      <c r="F69" s="78">
        <v>0</v>
      </c>
      <c r="G69" s="99" t="e">
        <f t="shared" si="0"/>
        <v>#DIV/0!</v>
      </c>
      <c r="H69" s="96"/>
      <c r="I69" s="124"/>
      <c r="J69" s="87"/>
      <c r="K69" s="87"/>
      <c r="L69" s="87"/>
      <c r="M69" s="87"/>
      <c r="N69" s="87"/>
      <c r="O69" s="87"/>
    </row>
    <row r="70" spans="1:15">
      <c r="A70" s="223" t="s">
        <v>306</v>
      </c>
      <c r="B70" s="222" t="s">
        <v>307</v>
      </c>
      <c r="C70" s="78">
        <v>0</v>
      </c>
      <c r="D70" s="139"/>
      <c r="E70" s="139"/>
      <c r="F70" s="78">
        <v>0</v>
      </c>
      <c r="G70" s="78" t="e">
        <f t="shared" si="0"/>
        <v>#DIV/0!</v>
      </c>
      <c r="H70" s="96"/>
      <c r="I70" s="124"/>
      <c r="J70" s="87"/>
      <c r="K70" s="87"/>
      <c r="L70" s="87"/>
      <c r="M70" s="87"/>
      <c r="N70" s="87"/>
      <c r="O70" s="87"/>
    </row>
    <row r="71" ht="25.5" spans="1:15">
      <c r="A71" s="219" t="s">
        <v>308</v>
      </c>
      <c r="B71" s="220" t="s">
        <v>309</v>
      </c>
      <c r="C71" s="96">
        <f>+C72</f>
        <v>672</v>
      </c>
      <c r="D71" s="137"/>
      <c r="E71" s="137"/>
      <c r="F71" s="96">
        <f>+F72</f>
        <v>0</v>
      </c>
      <c r="G71" s="96">
        <f t="shared" si="0"/>
        <v>0</v>
      </c>
      <c r="H71" s="96"/>
      <c r="I71" s="124"/>
      <c r="J71" s="87"/>
      <c r="K71" s="87"/>
      <c r="L71" s="87"/>
      <c r="M71" s="87"/>
      <c r="N71" s="87"/>
      <c r="O71" s="87"/>
    </row>
    <row r="72" ht="25.5" spans="1:15">
      <c r="A72" s="223" t="s">
        <v>310</v>
      </c>
      <c r="B72" s="222" t="s">
        <v>309</v>
      </c>
      <c r="C72" s="78">
        <f>101+571</f>
        <v>672</v>
      </c>
      <c r="D72" s="139"/>
      <c r="E72" s="139"/>
      <c r="F72" s="78">
        <v>0</v>
      </c>
      <c r="G72" s="78">
        <f t="shared" si="0"/>
        <v>0</v>
      </c>
      <c r="H72" s="96"/>
      <c r="I72" s="124"/>
      <c r="J72" s="87"/>
      <c r="K72" s="87"/>
      <c r="L72" s="87"/>
      <c r="M72" s="87"/>
      <c r="N72" s="87"/>
      <c r="O72" s="87"/>
    </row>
    <row r="73" spans="1:15">
      <c r="A73" s="217" t="s">
        <v>311</v>
      </c>
      <c r="B73" s="218" t="s">
        <v>312</v>
      </c>
      <c r="C73" s="96">
        <f>+C74+C76+C78+C80+C83+C85</f>
        <v>124114</v>
      </c>
      <c r="D73" s="79">
        <v>115160</v>
      </c>
      <c r="E73" s="79">
        <v>115160</v>
      </c>
      <c r="F73" s="96">
        <f>+F74+F76+F78+F80+F83+F85</f>
        <v>116296.57</v>
      </c>
      <c r="G73" s="96">
        <f t="shared" ref="G73:G136" si="1">+F73/C73*100</f>
        <v>93.7014116054595</v>
      </c>
      <c r="H73" s="96">
        <f>+F73/D73*100</f>
        <v>100.986948593262</v>
      </c>
      <c r="I73" s="124"/>
      <c r="J73" s="87"/>
      <c r="K73" s="87"/>
      <c r="L73" s="87"/>
      <c r="M73" s="87"/>
      <c r="N73" s="87"/>
      <c r="O73" s="87"/>
    </row>
    <row r="74" spans="1:15">
      <c r="A74" s="219" t="s">
        <v>313</v>
      </c>
      <c r="B74" s="220" t="s">
        <v>314</v>
      </c>
      <c r="C74" s="96">
        <f>+C75</f>
        <v>0</v>
      </c>
      <c r="D74" s="137"/>
      <c r="E74" s="137"/>
      <c r="F74" s="96">
        <f>+F75</f>
        <v>0</v>
      </c>
      <c r="G74" s="96" t="e">
        <f t="shared" si="1"/>
        <v>#DIV/0!</v>
      </c>
      <c r="H74" s="96"/>
      <c r="I74" s="124"/>
      <c r="J74" s="87"/>
      <c r="K74" s="87"/>
      <c r="L74" s="87"/>
      <c r="M74" s="87"/>
      <c r="N74" s="87"/>
      <c r="O74" s="87"/>
    </row>
    <row r="75" spans="1:15">
      <c r="A75" s="223" t="s">
        <v>315</v>
      </c>
      <c r="B75" s="222" t="s">
        <v>316</v>
      </c>
      <c r="C75" s="99">
        <v>0</v>
      </c>
      <c r="D75" s="139"/>
      <c r="E75" s="139"/>
      <c r="F75" s="99">
        <v>0</v>
      </c>
      <c r="G75" s="78" t="e">
        <f t="shared" si="1"/>
        <v>#DIV/0!</v>
      </c>
      <c r="H75" s="96"/>
      <c r="I75" s="124"/>
      <c r="J75" s="87"/>
      <c r="K75" s="87"/>
      <c r="L75" s="87"/>
      <c r="M75" s="87"/>
      <c r="N75" s="87"/>
      <c r="O75" s="87"/>
    </row>
    <row r="76" ht="25.5" spans="1:15">
      <c r="A76" s="219" t="s">
        <v>317</v>
      </c>
      <c r="B76" s="220" t="s">
        <v>318</v>
      </c>
      <c r="C76" s="96">
        <f>+C77</f>
        <v>110874</v>
      </c>
      <c r="D76" s="137"/>
      <c r="E76" s="137"/>
      <c r="F76" s="96">
        <f>+F77</f>
        <v>101920</v>
      </c>
      <c r="G76" s="96">
        <f t="shared" si="1"/>
        <v>91.9241661706081</v>
      </c>
      <c r="H76" s="96"/>
      <c r="I76" s="124"/>
      <c r="J76" s="87"/>
      <c r="K76" s="87"/>
      <c r="L76" s="87"/>
      <c r="M76" s="87"/>
      <c r="N76" s="87"/>
      <c r="O76" s="87"/>
    </row>
    <row r="77" ht="25.5" spans="1:15">
      <c r="A77" s="223" t="s">
        <v>319</v>
      </c>
      <c r="B77" s="222" t="s">
        <v>320</v>
      </c>
      <c r="C77" s="78">
        <f>8954+101920</f>
        <v>110874</v>
      </c>
      <c r="D77" s="139"/>
      <c r="E77" s="139"/>
      <c r="F77" s="99">
        <v>101920</v>
      </c>
      <c r="G77" s="78">
        <f t="shared" si="1"/>
        <v>91.9241661706081</v>
      </c>
      <c r="H77" s="96"/>
      <c r="I77" s="124"/>
      <c r="J77" s="87"/>
      <c r="K77" s="87"/>
      <c r="L77" s="87"/>
      <c r="M77" s="87"/>
      <c r="N77" s="87"/>
      <c r="O77" s="87"/>
    </row>
    <row r="78" spans="1:15">
      <c r="A78" s="219" t="s">
        <v>321</v>
      </c>
      <c r="B78" s="220" t="s">
        <v>322</v>
      </c>
      <c r="C78" s="96">
        <f>+C79</f>
        <v>0</v>
      </c>
      <c r="D78" s="137"/>
      <c r="E78" s="137"/>
      <c r="F78" s="96">
        <f>+F79</f>
        <v>0</v>
      </c>
      <c r="G78" s="96" t="e">
        <f t="shared" si="1"/>
        <v>#DIV/0!</v>
      </c>
      <c r="H78" s="96"/>
      <c r="I78" s="124"/>
      <c r="J78" s="87"/>
      <c r="K78" s="87"/>
      <c r="L78" s="87"/>
      <c r="M78" s="87"/>
      <c r="N78" s="87"/>
      <c r="O78" s="87"/>
    </row>
    <row r="79" spans="1:15">
      <c r="A79" s="223" t="s">
        <v>323</v>
      </c>
      <c r="B79" s="222" t="s">
        <v>324</v>
      </c>
      <c r="C79" s="99"/>
      <c r="D79" s="139"/>
      <c r="E79" s="139"/>
      <c r="F79" s="99">
        <v>0</v>
      </c>
      <c r="G79" s="78" t="e">
        <f t="shared" si="1"/>
        <v>#DIV/0!</v>
      </c>
      <c r="H79" s="96"/>
      <c r="I79" s="124"/>
      <c r="J79" s="87"/>
      <c r="K79" s="87"/>
      <c r="L79" s="87"/>
      <c r="M79" s="87"/>
      <c r="N79" s="87"/>
      <c r="O79" s="87"/>
    </row>
    <row r="80" spans="1:15">
      <c r="A80" s="219" t="s">
        <v>325</v>
      </c>
      <c r="B80" s="220" t="s">
        <v>326</v>
      </c>
      <c r="C80" s="96">
        <f>+C81+C82</f>
        <v>0</v>
      </c>
      <c r="D80" s="137"/>
      <c r="E80" s="137"/>
      <c r="F80" s="96">
        <f>+F81+F82</f>
        <v>0</v>
      </c>
      <c r="G80" s="96" t="e">
        <f t="shared" si="1"/>
        <v>#DIV/0!</v>
      </c>
      <c r="H80" s="96"/>
      <c r="I80" s="124"/>
      <c r="J80" s="87"/>
      <c r="K80" s="87"/>
      <c r="L80" s="87"/>
      <c r="M80" s="87"/>
      <c r="N80" s="87"/>
      <c r="O80" s="87"/>
    </row>
    <row r="81" spans="1:15">
      <c r="A81" s="223" t="s">
        <v>327</v>
      </c>
      <c r="B81" s="222" t="s">
        <v>328</v>
      </c>
      <c r="C81" s="78">
        <v>0</v>
      </c>
      <c r="D81" s="139"/>
      <c r="E81" s="139"/>
      <c r="F81" s="78">
        <v>0</v>
      </c>
      <c r="G81" s="78" t="e">
        <f t="shared" si="1"/>
        <v>#DIV/0!</v>
      </c>
      <c r="H81" s="96"/>
      <c r="I81" s="124"/>
      <c r="J81" s="87"/>
      <c r="K81" s="87"/>
      <c r="L81" s="87"/>
      <c r="M81" s="87"/>
      <c r="N81" s="87"/>
      <c r="O81" s="87"/>
    </row>
    <row r="82" spans="1:15">
      <c r="A82" s="223" t="s">
        <v>329</v>
      </c>
      <c r="B82" s="222" t="s">
        <v>330</v>
      </c>
      <c r="C82" s="99">
        <v>0</v>
      </c>
      <c r="D82" s="139"/>
      <c r="E82" s="139"/>
      <c r="F82" s="99">
        <v>0</v>
      </c>
      <c r="G82" s="78" t="e">
        <f t="shared" si="1"/>
        <v>#DIV/0!</v>
      </c>
      <c r="H82" s="96"/>
      <c r="I82" s="124"/>
      <c r="J82" s="87"/>
      <c r="K82" s="87"/>
      <c r="L82" s="87"/>
      <c r="M82" s="87"/>
      <c r="N82" s="87"/>
      <c r="O82" s="87"/>
    </row>
    <row r="83" spans="1:15">
      <c r="A83" s="219" t="s">
        <v>331</v>
      </c>
      <c r="B83" s="220" t="s">
        <v>332</v>
      </c>
      <c r="C83" s="96">
        <f>+C84</f>
        <v>0</v>
      </c>
      <c r="D83" s="137"/>
      <c r="E83" s="137"/>
      <c r="F83" s="96">
        <f>+F84</f>
        <v>0</v>
      </c>
      <c r="G83" s="96" t="e">
        <f t="shared" si="1"/>
        <v>#DIV/0!</v>
      </c>
      <c r="H83" s="96"/>
      <c r="I83" s="124"/>
      <c r="J83" s="87"/>
      <c r="K83" s="87"/>
      <c r="L83" s="87"/>
      <c r="M83" s="87"/>
      <c r="N83" s="87"/>
      <c r="O83" s="87"/>
    </row>
    <row r="84" spans="1:15">
      <c r="A84" s="223" t="s">
        <v>333</v>
      </c>
      <c r="B84" s="222" t="s">
        <v>334</v>
      </c>
      <c r="C84" s="78">
        <v>0</v>
      </c>
      <c r="D84" s="139"/>
      <c r="E84" s="139"/>
      <c r="F84" s="78">
        <v>0</v>
      </c>
      <c r="G84" s="78" t="e">
        <f t="shared" si="1"/>
        <v>#DIV/0!</v>
      </c>
      <c r="H84" s="96"/>
      <c r="I84" s="124"/>
      <c r="J84" s="87"/>
      <c r="K84" s="87"/>
      <c r="L84" s="87"/>
      <c r="M84" s="87"/>
      <c r="N84" s="87"/>
      <c r="O84" s="87"/>
    </row>
    <row r="85" spans="1:15">
      <c r="A85" s="219" t="s">
        <v>335</v>
      </c>
      <c r="B85" s="220" t="s">
        <v>80</v>
      </c>
      <c r="C85" s="96">
        <f>SUM(C86:C89)</f>
        <v>13240</v>
      </c>
      <c r="D85" s="137"/>
      <c r="E85" s="137"/>
      <c r="F85" s="96">
        <f>SUM(F86:F89)</f>
        <v>14376.57</v>
      </c>
      <c r="G85" s="96">
        <f t="shared" si="1"/>
        <v>108.584365558912</v>
      </c>
      <c r="H85" s="96"/>
      <c r="I85" s="124"/>
      <c r="J85" s="87"/>
      <c r="K85" s="87"/>
      <c r="L85" s="87"/>
      <c r="M85" s="87"/>
      <c r="N85" s="87"/>
      <c r="O85" s="87"/>
    </row>
    <row r="86" ht="25.5" spans="1:15">
      <c r="A86" s="223" t="s">
        <v>336</v>
      </c>
      <c r="B86" s="222" t="s">
        <v>82</v>
      </c>
      <c r="C86" s="78">
        <v>13240</v>
      </c>
      <c r="D86" s="139"/>
      <c r="E86" s="139"/>
      <c r="F86" s="78">
        <v>1064.95</v>
      </c>
      <c r="G86" s="78">
        <f t="shared" si="1"/>
        <v>8.04342900302115</v>
      </c>
      <c r="H86" s="96"/>
      <c r="I86" s="124"/>
      <c r="J86" s="87"/>
      <c r="K86" s="87"/>
      <c r="L86" s="87"/>
      <c r="M86" s="87"/>
      <c r="N86" s="87"/>
      <c r="O86" s="87"/>
    </row>
    <row r="87" ht="25.5" spans="1:15">
      <c r="A87" s="223" t="s">
        <v>337</v>
      </c>
      <c r="B87" s="222" t="s">
        <v>84</v>
      </c>
      <c r="C87" s="78">
        <v>0</v>
      </c>
      <c r="D87" s="139"/>
      <c r="E87" s="139"/>
      <c r="F87" s="78">
        <v>0</v>
      </c>
      <c r="G87" s="78" t="e">
        <f t="shared" si="1"/>
        <v>#DIV/0!</v>
      </c>
      <c r="H87" s="96"/>
      <c r="I87" s="124"/>
      <c r="J87" s="87"/>
      <c r="K87" s="87"/>
      <c r="L87" s="87"/>
      <c r="M87" s="87"/>
      <c r="N87" s="87"/>
      <c r="O87" s="87"/>
    </row>
    <row r="88" ht="25.5" spans="1:15">
      <c r="A88" s="223" t="s">
        <v>338</v>
      </c>
      <c r="B88" s="222" t="s">
        <v>86</v>
      </c>
      <c r="C88" s="78">
        <v>0</v>
      </c>
      <c r="D88" s="137"/>
      <c r="E88" s="137"/>
      <c r="F88" s="78">
        <v>13311.62</v>
      </c>
      <c r="G88" s="78" t="e">
        <f t="shared" si="1"/>
        <v>#DIV/0!</v>
      </c>
      <c r="H88" s="96"/>
      <c r="I88" s="124"/>
      <c r="J88" s="87"/>
      <c r="K88" s="87"/>
      <c r="L88" s="87"/>
      <c r="M88" s="87"/>
      <c r="N88" s="87"/>
      <c r="O88" s="87"/>
    </row>
    <row r="89" ht="25.5" spans="1:15">
      <c r="A89" s="223" t="s">
        <v>339</v>
      </c>
      <c r="B89" s="222" t="s">
        <v>88</v>
      </c>
      <c r="C89" s="78">
        <v>0</v>
      </c>
      <c r="D89" s="137"/>
      <c r="E89" s="137"/>
      <c r="F89" s="78">
        <v>0</v>
      </c>
      <c r="G89" s="78" t="e">
        <f t="shared" si="1"/>
        <v>#DIV/0!</v>
      </c>
      <c r="H89" s="96"/>
      <c r="I89" s="124"/>
      <c r="J89" s="87"/>
      <c r="K89" s="87"/>
      <c r="L89" s="87"/>
      <c r="M89" s="87"/>
      <c r="N89" s="87"/>
      <c r="O89" s="87"/>
    </row>
    <row r="90" ht="25.5" spans="1:15">
      <c r="A90" s="217" t="s">
        <v>340</v>
      </c>
      <c r="B90" s="218" t="s">
        <v>341</v>
      </c>
      <c r="C90" s="96">
        <f>+C91+C94</f>
        <v>1288</v>
      </c>
      <c r="D90" s="79">
        <v>2230</v>
      </c>
      <c r="E90" s="79">
        <v>2230</v>
      </c>
      <c r="F90" s="96">
        <f>+F91+F94</f>
        <v>71636.15</v>
      </c>
      <c r="G90" s="96">
        <f t="shared" si="1"/>
        <v>5561.81288819876</v>
      </c>
      <c r="H90" s="96">
        <f>+F90/D90*100</f>
        <v>3212.38340807175</v>
      </c>
      <c r="I90" s="124"/>
      <c r="J90" s="87"/>
      <c r="K90" s="87"/>
      <c r="L90" s="87"/>
      <c r="M90" s="87"/>
      <c r="N90" s="87"/>
      <c r="O90" s="87"/>
    </row>
    <row r="91" spans="1:15">
      <c r="A91" s="219" t="s">
        <v>342</v>
      </c>
      <c r="B91" s="220" t="s">
        <v>343</v>
      </c>
      <c r="C91" s="96">
        <f>+C92+C93</f>
        <v>0</v>
      </c>
      <c r="D91" s="137"/>
      <c r="E91" s="137"/>
      <c r="F91" s="96">
        <f>+F92+F93</f>
        <v>0</v>
      </c>
      <c r="G91" s="96" t="e">
        <f t="shared" si="1"/>
        <v>#DIV/0!</v>
      </c>
      <c r="H91" s="96"/>
      <c r="I91" s="124"/>
      <c r="J91" s="87"/>
      <c r="K91" s="87"/>
      <c r="L91" s="87"/>
      <c r="M91" s="87"/>
      <c r="N91" s="87"/>
      <c r="O91" s="87"/>
    </row>
    <row r="92" ht="25.5" spans="1:15">
      <c r="A92" s="223" t="s">
        <v>344</v>
      </c>
      <c r="B92" s="222" t="s">
        <v>345</v>
      </c>
      <c r="C92" s="78">
        <v>0</v>
      </c>
      <c r="D92" s="137"/>
      <c r="E92" s="137"/>
      <c r="F92" s="78">
        <v>0</v>
      </c>
      <c r="G92" s="78" t="e">
        <f t="shared" si="1"/>
        <v>#DIV/0!</v>
      </c>
      <c r="H92" s="96"/>
      <c r="I92" s="124"/>
      <c r="J92" s="87"/>
      <c r="K92" s="87"/>
      <c r="L92" s="87"/>
      <c r="M92" s="87"/>
      <c r="N92" s="87"/>
      <c r="O92" s="87"/>
    </row>
    <row r="93" ht="25.5" spans="1:15">
      <c r="A93" s="223" t="s">
        <v>346</v>
      </c>
      <c r="B93" s="222" t="s">
        <v>347</v>
      </c>
      <c r="C93" s="78">
        <v>0</v>
      </c>
      <c r="D93" s="137"/>
      <c r="E93" s="137"/>
      <c r="F93" s="78">
        <v>0</v>
      </c>
      <c r="G93" s="78" t="e">
        <f t="shared" si="1"/>
        <v>#DIV/0!</v>
      </c>
      <c r="H93" s="96"/>
      <c r="I93" s="124"/>
      <c r="J93" s="87"/>
      <c r="K93" s="87"/>
      <c r="L93" s="87"/>
      <c r="M93" s="87"/>
      <c r="N93" s="87"/>
      <c r="O93" s="87"/>
    </row>
    <row r="94" spans="1:15">
      <c r="A94" s="219" t="s">
        <v>348</v>
      </c>
      <c r="B94" s="220" t="s">
        <v>349</v>
      </c>
      <c r="C94" s="96">
        <f>SUM(C95:C97)</f>
        <v>1288</v>
      </c>
      <c r="D94" s="137"/>
      <c r="E94" s="137"/>
      <c r="F94" s="96">
        <f>SUM(F95:F97)</f>
        <v>71636.15</v>
      </c>
      <c r="G94" s="96">
        <f t="shared" si="1"/>
        <v>5561.81288819876</v>
      </c>
      <c r="H94" s="96"/>
      <c r="I94" s="124"/>
      <c r="J94" s="87"/>
      <c r="K94" s="87"/>
      <c r="L94" s="87"/>
      <c r="M94" s="87"/>
      <c r="N94" s="87"/>
      <c r="O94" s="87"/>
    </row>
    <row r="95" spans="1:15">
      <c r="A95" s="223" t="s">
        <v>350</v>
      </c>
      <c r="B95" s="222" t="s">
        <v>351</v>
      </c>
      <c r="C95" s="78">
        <f>332+956</f>
        <v>1288</v>
      </c>
      <c r="D95" s="137"/>
      <c r="E95" s="137"/>
      <c r="F95" s="78">
        <v>71636.15</v>
      </c>
      <c r="G95" s="78">
        <f t="shared" si="1"/>
        <v>5561.81288819876</v>
      </c>
      <c r="H95" s="96"/>
      <c r="I95" s="124"/>
      <c r="J95" s="87"/>
      <c r="K95" s="87"/>
      <c r="L95" s="87"/>
      <c r="M95" s="87"/>
      <c r="N95" s="87"/>
      <c r="O95" s="87"/>
    </row>
    <row r="96" spans="1:15">
      <c r="A96" s="223" t="s">
        <v>352</v>
      </c>
      <c r="B96" s="222" t="s">
        <v>353</v>
      </c>
      <c r="C96" s="78">
        <v>0</v>
      </c>
      <c r="D96" s="137"/>
      <c r="E96" s="137"/>
      <c r="F96" s="78">
        <v>0</v>
      </c>
      <c r="G96" s="78" t="e">
        <f t="shared" si="1"/>
        <v>#DIV/0!</v>
      </c>
      <c r="H96" s="96"/>
      <c r="I96" s="124"/>
      <c r="J96" s="87"/>
      <c r="K96" s="87"/>
      <c r="L96" s="87"/>
      <c r="M96" s="87"/>
      <c r="N96" s="87"/>
      <c r="O96" s="87"/>
    </row>
    <row r="97" spans="1:15">
      <c r="A97" s="223" t="s">
        <v>354</v>
      </c>
      <c r="B97" s="222" t="s">
        <v>355</v>
      </c>
      <c r="C97" s="78">
        <v>0</v>
      </c>
      <c r="D97" s="137"/>
      <c r="E97" s="137"/>
      <c r="F97" s="78">
        <v>0</v>
      </c>
      <c r="G97" s="78" t="e">
        <f t="shared" si="1"/>
        <v>#DIV/0!</v>
      </c>
      <c r="H97" s="96"/>
      <c r="I97" s="124"/>
      <c r="J97" s="87"/>
      <c r="K97" s="87"/>
      <c r="L97" s="87"/>
      <c r="M97" s="87"/>
      <c r="N97" s="87"/>
      <c r="O97" s="87"/>
    </row>
    <row r="98" spans="1:15">
      <c r="A98" s="217" t="s">
        <v>356</v>
      </c>
      <c r="B98" s="218" t="s">
        <v>357</v>
      </c>
      <c r="C98" s="96">
        <f>+C99+C103+C107</f>
        <v>3323</v>
      </c>
      <c r="D98" s="79">
        <v>3323</v>
      </c>
      <c r="E98" s="79">
        <v>3323</v>
      </c>
      <c r="F98" s="96">
        <f>+F99+F103+F107</f>
        <v>0</v>
      </c>
      <c r="G98" s="96">
        <f t="shared" si="1"/>
        <v>0</v>
      </c>
      <c r="H98" s="96">
        <f>+F98/D98*100</f>
        <v>0</v>
      </c>
      <c r="I98" s="124"/>
      <c r="J98" s="87"/>
      <c r="K98" s="87"/>
      <c r="L98" s="87"/>
      <c r="M98" s="87"/>
      <c r="N98" s="87"/>
      <c r="O98" s="87"/>
    </row>
    <row r="99" spans="1:15">
      <c r="A99" s="219" t="s">
        <v>358</v>
      </c>
      <c r="B99" s="220" t="s">
        <v>134</v>
      </c>
      <c r="C99" s="96">
        <f>SUM(C100:C102)</f>
        <v>3323</v>
      </c>
      <c r="D99" s="137"/>
      <c r="E99" s="137"/>
      <c r="F99" s="96">
        <f>SUM(F100:F102)</f>
        <v>0</v>
      </c>
      <c r="G99" s="96">
        <f t="shared" si="1"/>
        <v>0</v>
      </c>
      <c r="H99" s="96"/>
      <c r="I99" s="124"/>
      <c r="J99" s="87"/>
      <c r="K99" s="87"/>
      <c r="L99" s="87"/>
      <c r="M99" s="87"/>
      <c r="N99" s="87"/>
      <c r="O99" s="87"/>
    </row>
    <row r="100" spans="1:15">
      <c r="A100" s="223" t="s">
        <v>359</v>
      </c>
      <c r="B100" s="222" t="s">
        <v>360</v>
      </c>
      <c r="C100" s="78">
        <v>3323</v>
      </c>
      <c r="D100" s="137"/>
      <c r="E100" s="137"/>
      <c r="F100" s="78">
        <v>0</v>
      </c>
      <c r="G100" s="78">
        <f t="shared" si="1"/>
        <v>0</v>
      </c>
      <c r="H100" s="96"/>
      <c r="I100" s="124"/>
      <c r="J100" s="87"/>
      <c r="K100" s="87"/>
      <c r="L100" s="87"/>
      <c r="M100" s="87"/>
      <c r="N100" s="87"/>
      <c r="O100" s="87"/>
    </row>
    <row r="101" spans="1:15">
      <c r="A101" s="223" t="s">
        <v>361</v>
      </c>
      <c r="B101" s="222" t="s">
        <v>362</v>
      </c>
      <c r="C101" s="78">
        <v>0</v>
      </c>
      <c r="D101" s="137"/>
      <c r="E101" s="137"/>
      <c r="F101" s="78">
        <v>0</v>
      </c>
      <c r="G101" s="78" t="e">
        <f t="shared" si="1"/>
        <v>#DIV/0!</v>
      </c>
      <c r="H101" s="96"/>
      <c r="I101" s="124"/>
      <c r="J101" s="87"/>
      <c r="K101" s="87"/>
      <c r="L101" s="87"/>
      <c r="M101" s="87"/>
      <c r="N101" s="87"/>
      <c r="O101" s="87"/>
    </row>
    <row r="102" spans="1:15">
      <c r="A102" s="223" t="s">
        <v>363</v>
      </c>
      <c r="B102" s="222" t="s">
        <v>364</v>
      </c>
      <c r="C102" s="78">
        <v>0</v>
      </c>
      <c r="D102" s="137"/>
      <c r="E102" s="137"/>
      <c r="F102" s="78">
        <v>0</v>
      </c>
      <c r="G102" s="78" t="e">
        <f t="shared" si="1"/>
        <v>#DIV/0!</v>
      </c>
      <c r="H102" s="96"/>
      <c r="I102" s="124"/>
      <c r="J102" s="87"/>
      <c r="K102" s="87"/>
      <c r="L102" s="87"/>
      <c r="M102" s="87"/>
      <c r="N102" s="87"/>
      <c r="O102" s="87"/>
    </row>
    <row r="103" spans="1:15">
      <c r="A103" s="219" t="s">
        <v>365</v>
      </c>
      <c r="B103" s="220" t="s">
        <v>136</v>
      </c>
      <c r="C103" s="96">
        <f>SUM(C104:C106)</f>
        <v>0</v>
      </c>
      <c r="D103" s="137"/>
      <c r="E103" s="137"/>
      <c r="F103" s="96">
        <f>SUM(F104:F106)</f>
        <v>0</v>
      </c>
      <c r="G103" s="96" t="e">
        <f t="shared" si="1"/>
        <v>#DIV/0!</v>
      </c>
      <c r="H103" s="96"/>
      <c r="I103" s="124"/>
      <c r="J103" s="87"/>
      <c r="K103" s="87"/>
      <c r="L103" s="87"/>
      <c r="M103" s="87"/>
      <c r="N103" s="87"/>
      <c r="O103" s="87"/>
    </row>
    <row r="104" spans="1:15">
      <c r="A104" s="223" t="s">
        <v>366</v>
      </c>
      <c r="B104" s="222" t="s">
        <v>367</v>
      </c>
      <c r="C104" s="78">
        <v>0</v>
      </c>
      <c r="D104" s="137"/>
      <c r="E104" s="137"/>
      <c r="F104" s="78">
        <v>0</v>
      </c>
      <c r="G104" s="78" t="e">
        <f t="shared" si="1"/>
        <v>#DIV/0!</v>
      </c>
      <c r="H104" s="96"/>
      <c r="I104" s="124"/>
      <c r="J104" s="87"/>
      <c r="K104" s="87"/>
      <c r="L104" s="87"/>
      <c r="M104" s="87"/>
      <c r="N104" s="87"/>
      <c r="O104" s="87"/>
    </row>
    <row r="105" spans="1:15">
      <c r="A105" s="223" t="s">
        <v>368</v>
      </c>
      <c r="B105" s="222" t="s">
        <v>369</v>
      </c>
      <c r="C105" s="78">
        <v>0</v>
      </c>
      <c r="D105" s="137"/>
      <c r="E105" s="137"/>
      <c r="F105" s="78">
        <v>0</v>
      </c>
      <c r="G105" s="78" t="e">
        <f t="shared" si="1"/>
        <v>#DIV/0!</v>
      </c>
      <c r="H105" s="96"/>
      <c r="I105" s="124"/>
      <c r="J105" s="87"/>
      <c r="K105" s="87"/>
      <c r="L105" s="87"/>
      <c r="M105" s="87"/>
      <c r="N105" s="87"/>
      <c r="O105" s="87"/>
    </row>
    <row r="106" spans="1:15">
      <c r="A106" s="223" t="s">
        <v>370</v>
      </c>
      <c r="B106" s="222" t="s">
        <v>371</v>
      </c>
      <c r="C106" s="78">
        <v>0</v>
      </c>
      <c r="D106" s="137"/>
      <c r="E106" s="137"/>
      <c r="F106" s="78">
        <v>0</v>
      </c>
      <c r="G106" s="78" t="e">
        <f t="shared" si="1"/>
        <v>#DIV/0!</v>
      </c>
      <c r="H106" s="96"/>
      <c r="I106" s="124"/>
      <c r="J106" s="87"/>
      <c r="K106" s="87"/>
      <c r="L106" s="87"/>
      <c r="M106" s="87"/>
      <c r="N106" s="87"/>
      <c r="O106" s="87"/>
    </row>
    <row r="107" spans="1:15">
      <c r="A107" s="219" t="s">
        <v>372</v>
      </c>
      <c r="B107" s="220" t="s">
        <v>373</v>
      </c>
      <c r="C107" s="96">
        <f>SUM(C108:C112)</f>
        <v>0</v>
      </c>
      <c r="D107" s="137"/>
      <c r="E107" s="137"/>
      <c r="F107" s="96">
        <f>SUM(F108:F112)</f>
        <v>0</v>
      </c>
      <c r="G107" s="96" t="e">
        <f t="shared" si="1"/>
        <v>#DIV/0!</v>
      </c>
      <c r="H107" s="96"/>
      <c r="I107" s="124"/>
      <c r="J107" s="87"/>
      <c r="K107" s="87"/>
      <c r="L107" s="87"/>
      <c r="M107" s="87"/>
      <c r="N107" s="87"/>
      <c r="O107" s="87"/>
    </row>
    <row r="108" spans="1:15">
      <c r="A108" s="223" t="s">
        <v>374</v>
      </c>
      <c r="B108" s="222" t="s">
        <v>375</v>
      </c>
      <c r="C108" s="78">
        <v>0</v>
      </c>
      <c r="D108" s="137"/>
      <c r="E108" s="137"/>
      <c r="F108" s="78">
        <v>0</v>
      </c>
      <c r="G108" s="78" t="e">
        <f t="shared" si="1"/>
        <v>#DIV/0!</v>
      </c>
      <c r="H108" s="96"/>
      <c r="I108" s="124"/>
      <c r="J108" s="87"/>
      <c r="K108" s="87"/>
      <c r="L108" s="87"/>
      <c r="M108" s="87"/>
      <c r="N108" s="87"/>
      <c r="O108" s="87"/>
    </row>
    <row r="109" spans="1:15">
      <c r="A109" s="223" t="s">
        <v>376</v>
      </c>
      <c r="B109" s="222" t="s">
        <v>377</v>
      </c>
      <c r="C109" s="78">
        <v>0</v>
      </c>
      <c r="D109" s="137"/>
      <c r="E109" s="137"/>
      <c r="F109" s="78">
        <v>0</v>
      </c>
      <c r="G109" s="78" t="e">
        <f t="shared" si="1"/>
        <v>#DIV/0!</v>
      </c>
      <c r="H109" s="96"/>
      <c r="I109" s="124"/>
      <c r="J109" s="87"/>
      <c r="K109" s="87"/>
      <c r="L109" s="87"/>
      <c r="M109" s="87"/>
      <c r="N109" s="87"/>
      <c r="O109" s="87"/>
    </row>
    <row r="110" spans="1:15">
      <c r="A110" s="223" t="s">
        <v>378</v>
      </c>
      <c r="B110" s="222" t="s">
        <v>379</v>
      </c>
      <c r="C110" s="78">
        <v>0</v>
      </c>
      <c r="D110" s="137"/>
      <c r="E110" s="137"/>
      <c r="F110" s="78">
        <v>0</v>
      </c>
      <c r="G110" s="78" t="e">
        <f t="shared" si="1"/>
        <v>#DIV/0!</v>
      </c>
      <c r="H110" s="96"/>
      <c r="I110" s="124"/>
      <c r="J110" s="87"/>
      <c r="K110" s="87"/>
      <c r="L110" s="87"/>
      <c r="M110" s="87"/>
      <c r="N110" s="87"/>
      <c r="O110" s="87"/>
    </row>
    <row r="111" spans="1:15">
      <c r="A111" s="223" t="s">
        <v>380</v>
      </c>
      <c r="B111" s="222" t="s">
        <v>381</v>
      </c>
      <c r="C111" s="78">
        <v>0</v>
      </c>
      <c r="D111" s="137"/>
      <c r="E111" s="137"/>
      <c r="F111" s="78">
        <v>0</v>
      </c>
      <c r="G111" s="78" t="e">
        <f t="shared" si="1"/>
        <v>#DIV/0!</v>
      </c>
      <c r="H111" s="96"/>
      <c r="I111" s="124"/>
      <c r="J111" s="87"/>
      <c r="K111" s="87"/>
      <c r="L111" s="87"/>
      <c r="M111" s="87"/>
      <c r="N111" s="87"/>
      <c r="O111" s="87"/>
    </row>
    <row r="112" spans="1:15">
      <c r="A112" s="223" t="s">
        <v>382</v>
      </c>
      <c r="B112" s="222" t="s">
        <v>146</v>
      </c>
      <c r="C112" s="78">
        <v>0</v>
      </c>
      <c r="D112" s="137"/>
      <c r="E112" s="137"/>
      <c r="F112" s="78">
        <v>0</v>
      </c>
      <c r="G112" s="78" t="e">
        <f t="shared" si="1"/>
        <v>#DIV/0!</v>
      </c>
      <c r="H112" s="96"/>
      <c r="I112" s="124"/>
      <c r="J112" s="87"/>
      <c r="K112" s="87"/>
      <c r="L112" s="87"/>
      <c r="M112" s="87"/>
      <c r="N112" s="87"/>
      <c r="O112" s="87"/>
    </row>
    <row r="113" spans="1:15">
      <c r="A113" s="215" t="s">
        <v>383</v>
      </c>
      <c r="B113" s="216" t="s">
        <v>384</v>
      </c>
      <c r="C113" s="132">
        <f>+C114+C121+C148+C151+C154</f>
        <v>101197</v>
      </c>
      <c r="D113" s="133">
        <f>+D114+D121+D148+D151+D154</f>
        <v>204153</v>
      </c>
      <c r="E113" s="133">
        <f>+E114+E121+E148+E151+E154</f>
        <v>204153</v>
      </c>
      <c r="F113" s="132">
        <f>+F114+F121+F148+F151+F154</f>
        <v>36102.73</v>
      </c>
      <c r="G113" s="132">
        <f t="shared" si="1"/>
        <v>35.6756919671532</v>
      </c>
      <c r="H113" s="132">
        <f>+F113/D113*100</f>
        <v>17.684153551503</v>
      </c>
      <c r="I113" s="145"/>
      <c r="J113" s="103"/>
      <c r="K113" s="103"/>
      <c r="L113" s="103"/>
      <c r="M113" s="103"/>
      <c r="N113" s="103"/>
      <c r="O113" s="103"/>
    </row>
    <row r="114" spans="1:15">
      <c r="A114" s="217" t="s">
        <v>385</v>
      </c>
      <c r="B114" s="218" t="s">
        <v>386</v>
      </c>
      <c r="C114" s="96">
        <f>+C115+C117</f>
        <v>2994</v>
      </c>
      <c r="D114" s="79">
        <v>25483</v>
      </c>
      <c r="E114" s="79">
        <v>25483</v>
      </c>
      <c r="F114" s="96">
        <f>+F115+F117</f>
        <v>497.7</v>
      </c>
      <c r="G114" s="96">
        <f t="shared" si="1"/>
        <v>16.623246492986</v>
      </c>
      <c r="H114" s="96">
        <f>+F114/D114*100</f>
        <v>1.95306675038261</v>
      </c>
      <c r="I114" s="124"/>
      <c r="J114" s="87"/>
      <c r="K114" s="87"/>
      <c r="L114" s="87"/>
      <c r="M114" s="87"/>
      <c r="N114" s="87"/>
      <c r="O114" s="87"/>
    </row>
    <row r="115" spans="1:15">
      <c r="A115" s="219" t="s">
        <v>387</v>
      </c>
      <c r="B115" s="220" t="s">
        <v>388</v>
      </c>
      <c r="C115" s="96">
        <f>+C116</f>
        <v>0</v>
      </c>
      <c r="D115" s="137"/>
      <c r="E115" s="137"/>
      <c r="F115" s="96">
        <f>+F116</f>
        <v>0</v>
      </c>
      <c r="G115" s="96" t="e">
        <f t="shared" si="1"/>
        <v>#DIV/0!</v>
      </c>
      <c r="H115" s="96"/>
      <c r="I115" s="124"/>
      <c r="J115" s="87"/>
      <c r="K115" s="87"/>
      <c r="L115" s="87"/>
      <c r="M115" s="87"/>
      <c r="N115" s="87"/>
      <c r="O115" s="87"/>
    </row>
    <row r="116" spans="1:15">
      <c r="A116" s="223" t="s">
        <v>389</v>
      </c>
      <c r="B116" s="222" t="s">
        <v>157</v>
      </c>
      <c r="C116" s="78">
        <v>0</v>
      </c>
      <c r="D116" s="137"/>
      <c r="E116" s="137"/>
      <c r="F116" s="78">
        <v>0</v>
      </c>
      <c r="G116" s="78" t="e">
        <f t="shared" si="1"/>
        <v>#DIV/0!</v>
      </c>
      <c r="H116" s="96"/>
      <c r="I116" s="124"/>
      <c r="J116" s="87"/>
      <c r="K116" s="87"/>
      <c r="L116" s="87"/>
      <c r="M116" s="87"/>
      <c r="N116" s="87"/>
      <c r="O116" s="87"/>
    </row>
    <row r="117" spans="1:15">
      <c r="A117" s="219" t="s">
        <v>390</v>
      </c>
      <c r="B117" s="220" t="s">
        <v>391</v>
      </c>
      <c r="C117" s="96">
        <f>+C118+C119+C120</f>
        <v>2994</v>
      </c>
      <c r="D117" s="137"/>
      <c r="E117" s="137"/>
      <c r="F117" s="96">
        <f>+F118+F119+F120</f>
        <v>497.7</v>
      </c>
      <c r="G117" s="96">
        <f t="shared" si="1"/>
        <v>16.623246492986</v>
      </c>
      <c r="H117" s="96"/>
      <c r="I117" s="124"/>
      <c r="J117" s="87"/>
      <c r="K117" s="87"/>
      <c r="L117" s="87"/>
      <c r="M117" s="87"/>
      <c r="N117" s="87"/>
      <c r="O117" s="87"/>
    </row>
    <row r="118" spans="1:15">
      <c r="A118" s="223" t="s">
        <v>392</v>
      </c>
      <c r="B118" s="222" t="s">
        <v>393</v>
      </c>
      <c r="C118" s="78">
        <v>0</v>
      </c>
      <c r="D118" s="137"/>
      <c r="E118" s="137"/>
      <c r="F118" s="78">
        <v>0</v>
      </c>
      <c r="G118" s="78" t="e">
        <f t="shared" si="1"/>
        <v>#DIV/0!</v>
      </c>
      <c r="H118" s="96"/>
      <c r="I118" s="124"/>
      <c r="J118" s="87"/>
      <c r="K118" s="87"/>
      <c r="L118" s="87"/>
      <c r="M118" s="87"/>
      <c r="N118" s="87"/>
      <c r="O118" s="87"/>
    </row>
    <row r="119" spans="1:15">
      <c r="A119" s="223" t="s">
        <v>394</v>
      </c>
      <c r="B119" s="222" t="s">
        <v>161</v>
      </c>
      <c r="C119" s="78">
        <f>2662+166+166</f>
        <v>2994</v>
      </c>
      <c r="D119" s="137"/>
      <c r="E119" s="137"/>
      <c r="F119" s="78">
        <v>497.7</v>
      </c>
      <c r="G119" s="78">
        <f t="shared" si="1"/>
        <v>16.623246492986</v>
      </c>
      <c r="H119" s="96"/>
      <c r="I119" s="124"/>
      <c r="J119" s="87"/>
      <c r="K119" s="87"/>
      <c r="L119" s="87"/>
      <c r="M119" s="87"/>
      <c r="N119" s="87"/>
      <c r="O119" s="87"/>
    </row>
    <row r="120" spans="1:15">
      <c r="A120" s="223" t="s">
        <v>395</v>
      </c>
      <c r="B120" s="222" t="s">
        <v>396</v>
      </c>
      <c r="C120" s="78">
        <v>0</v>
      </c>
      <c r="D120" s="137"/>
      <c r="E120" s="137"/>
      <c r="F120" s="78">
        <v>0</v>
      </c>
      <c r="G120" s="78" t="e">
        <f t="shared" si="1"/>
        <v>#DIV/0!</v>
      </c>
      <c r="H120" s="96"/>
      <c r="I120" s="124"/>
      <c r="J120" s="87"/>
      <c r="K120" s="87"/>
      <c r="L120" s="87"/>
      <c r="M120" s="87"/>
      <c r="N120" s="87"/>
      <c r="O120" s="87"/>
    </row>
    <row r="121" spans="1:15">
      <c r="A121" s="217" t="s">
        <v>397</v>
      </c>
      <c r="B121" s="218" t="s">
        <v>398</v>
      </c>
      <c r="C121" s="96">
        <f>+C122+C126+C134+C137+C141+C144</f>
        <v>98176</v>
      </c>
      <c r="D121" s="79">
        <v>113670</v>
      </c>
      <c r="E121" s="79">
        <v>113670</v>
      </c>
      <c r="F121" s="96">
        <f>+F122+F126+F134+F137+F141+F144</f>
        <v>34984.93</v>
      </c>
      <c r="G121" s="96">
        <f t="shared" si="1"/>
        <v>35.6349107724902</v>
      </c>
      <c r="H121" s="96">
        <f>+F121/D121*100</f>
        <v>30.7776282220463</v>
      </c>
      <c r="I121" s="124"/>
      <c r="J121" s="87"/>
      <c r="K121" s="87"/>
      <c r="L121" s="87"/>
      <c r="M121" s="87"/>
      <c r="N121" s="87"/>
      <c r="O121" s="87"/>
    </row>
    <row r="122" spans="1:15">
      <c r="A122" s="219" t="s">
        <v>399</v>
      </c>
      <c r="B122" s="220" t="s">
        <v>400</v>
      </c>
      <c r="C122" s="96">
        <f>SUM(C123:C125)</f>
        <v>2500</v>
      </c>
      <c r="D122" s="137"/>
      <c r="E122" s="137"/>
      <c r="F122" s="96">
        <f>SUM(F123:F125)</f>
        <v>14244.82</v>
      </c>
      <c r="G122" s="96">
        <f t="shared" si="1"/>
        <v>569.7928</v>
      </c>
      <c r="H122" s="96"/>
      <c r="I122" s="124"/>
      <c r="J122" s="87"/>
      <c r="K122" s="87"/>
      <c r="L122" s="87"/>
      <c r="M122" s="87"/>
      <c r="N122" s="87"/>
      <c r="O122" s="87"/>
    </row>
    <row r="123" spans="1:15">
      <c r="A123" s="223" t="s">
        <v>401</v>
      </c>
      <c r="B123" s="222" t="s">
        <v>167</v>
      </c>
      <c r="C123" s="78">
        <v>0</v>
      </c>
      <c r="D123" s="137"/>
      <c r="E123" s="137"/>
      <c r="F123" s="78">
        <v>14078.92</v>
      </c>
      <c r="G123" s="78" t="e">
        <f t="shared" si="1"/>
        <v>#DIV/0!</v>
      </c>
      <c r="H123" s="96"/>
      <c r="I123" s="124"/>
      <c r="J123" s="87"/>
      <c r="K123" s="87"/>
      <c r="L123" s="87"/>
      <c r="M123" s="87"/>
      <c r="N123" s="87"/>
      <c r="O123" s="87"/>
    </row>
    <row r="124" spans="1:15">
      <c r="A124" s="223" t="s">
        <v>402</v>
      </c>
      <c r="B124" s="222" t="s">
        <v>169</v>
      </c>
      <c r="C124" s="78">
        <f>1250+1250</f>
        <v>2500</v>
      </c>
      <c r="D124" s="137"/>
      <c r="E124" s="137"/>
      <c r="F124" s="78">
        <v>165.9</v>
      </c>
      <c r="G124" s="78">
        <f t="shared" si="1"/>
        <v>6.636</v>
      </c>
      <c r="H124" s="96"/>
      <c r="I124" s="124"/>
      <c r="J124" s="87"/>
      <c r="K124" s="87"/>
      <c r="L124" s="87"/>
      <c r="M124" s="87"/>
      <c r="N124" s="87"/>
      <c r="O124" s="87"/>
    </row>
    <row r="125" spans="1:15">
      <c r="A125" s="223" t="s">
        <v>403</v>
      </c>
      <c r="B125" s="222" t="s">
        <v>404</v>
      </c>
      <c r="C125" s="78">
        <v>0</v>
      </c>
      <c r="D125" s="137"/>
      <c r="E125" s="137"/>
      <c r="F125" s="78">
        <v>0</v>
      </c>
      <c r="G125" s="78" t="e">
        <f t="shared" si="1"/>
        <v>#DIV/0!</v>
      </c>
      <c r="H125" s="96"/>
      <c r="I125" s="124"/>
      <c r="J125" s="87"/>
      <c r="K125" s="87"/>
      <c r="L125" s="87"/>
      <c r="M125" s="87"/>
      <c r="N125" s="87"/>
      <c r="O125" s="87"/>
    </row>
    <row r="126" spans="1:15">
      <c r="A126" s="219" t="s">
        <v>405</v>
      </c>
      <c r="B126" s="220" t="s">
        <v>406</v>
      </c>
      <c r="C126" s="96">
        <f>SUM(C127:C133)</f>
        <v>95676</v>
      </c>
      <c r="D126" s="137"/>
      <c r="E126" s="137"/>
      <c r="F126" s="96">
        <f>SUM(F127:F133)</f>
        <v>20740.11</v>
      </c>
      <c r="G126" s="96">
        <f t="shared" si="1"/>
        <v>21.6774426188386</v>
      </c>
      <c r="H126" s="96"/>
      <c r="I126" s="124"/>
      <c r="J126" s="87"/>
      <c r="K126" s="87"/>
      <c r="L126" s="87"/>
      <c r="M126" s="87"/>
      <c r="N126" s="87"/>
      <c r="O126" s="87"/>
    </row>
    <row r="127" spans="1:15">
      <c r="A127" s="223" t="s">
        <v>407</v>
      </c>
      <c r="B127" s="222" t="s">
        <v>173</v>
      </c>
      <c r="C127" s="78">
        <f>5908+516+51279+767+7129+2922+3217+8798</f>
        <v>80536</v>
      </c>
      <c r="D127" s="137"/>
      <c r="E127" s="137"/>
      <c r="F127" s="78">
        <f>7051.63+22358.8-15847.87</f>
        <v>13562.56</v>
      </c>
      <c r="G127" s="78">
        <f t="shared" si="1"/>
        <v>16.8403695241879</v>
      </c>
      <c r="H127" s="96"/>
      <c r="I127" s="124"/>
      <c r="J127" s="87"/>
      <c r="K127" s="87"/>
      <c r="L127" s="87"/>
      <c r="M127" s="87"/>
      <c r="N127" s="87"/>
      <c r="O127" s="87"/>
    </row>
    <row r="128" spans="1:15">
      <c r="A128" s="223" t="s">
        <v>408</v>
      </c>
      <c r="B128" s="222" t="s">
        <v>409</v>
      </c>
      <c r="C128" s="78">
        <f>2104+1506+6717</f>
        <v>10327</v>
      </c>
      <c r="D128" s="137"/>
      <c r="E128" s="137"/>
      <c r="F128" s="78">
        <f>680+2807.53</f>
        <v>3487.53</v>
      </c>
      <c r="G128" s="78">
        <f t="shared" si="1"/>
        <v>33.7709886704755</v>
      </c>
      <c r="H128" s="96"/>
      <c r="I128" s="124"/>
      <c r="J128" s="87"/>
      <c r="K128" s="87"/>
      <c r="L128" s="87"/>
      <c r="M128" s="87"/>
      <c r="N128" s="87"/>
      <c r="O128" s="87"/>
    </row>
    <row r="129" spans="1:15">
      <c r="A129" s="223" t="s">
        <v>410</v>
      </c>
      <c r="B129" s="222" t="s">
        <v>411</v>
      </c>
      <c r="C129" s="78">
        <f>4655+158</f>
        <v>4813</v>
      </c>
      <c r="D129" s="137"/>
      <c r="E129" s="137"/>
      <c r="F129" s="78">
        <v>3690.02</v>
      </c>
      <c r="G129" s="78">
        <f t="shared" si="1"/>
        <v>76.6677747766466</v>
      </c>
      <c r="H129" s="96"/>
      <c r="I129" s="124"/>
      <c r="J129" s="87"/>
      <c r="K129" s="87"/>
      <c r="L129" s="87"/>
      <c r="M129" s="87"/>
      <c r="N129" s="87"/>
      <c r="O129" s="87"/>
    </row>
    <row r="130" spans="1:15">
      <c r="A130" s="223" t="s">
        <v>412</v>
      </c>
      <c r="B130" s="222" t="s">
        <v>413</v>
      </c>
      <c r="C130" s="78">
        <v>0</v>
      </c>
      <c r="D130" s="137"/>
      <c r="E130" s="137"/>
      <c r="F130" s="78">
        <v>0</v>
      </c>
      <c r="G130" s="78" t="e">
        <f t="shared" si="1"/>
        <v>#DIV/0!</v>
      </c>
      <c r="H130" s="96"/>
      <c r="I130" s="124"/>
      <c r="J130" s="87"/>
      <c r="K130" s="87"/>
      <c r="L130" s="87"/>
      <c r="M130" s="87"/>
      <c r="N130" s="87"/>
      <c r="O130" s="87"/>
    </row>
    <row r="131" spans="1:15">
      <c r="A131" s="223" t="s">
        <v>414</v>
      </c>
      <c r="B131" s="222" t="s">
        <v>415</v>
      </c>
      <c r="C131" s="78">
        <v>0</v>
      </c>
      <c r="D131" s="137"/>
      <c r="E131" s="137"/>
      <c r="F131" s="78">
        <v>0</v>
      </c>
      <c r="G131" s="78" t="e">
        <f t="shared" si="1"/>
        <v>#DIV/0!</v>
      </c>
      <c r="H131" s="96"/>
      <c r="I131" s="124"/>
      <c r="J131" s="87"/>
      <c r="K131" s="87"/>
      <c r="L131" s="87"/>
      <c r="M131" s="87"/>
      <c r="N131" s="87"/>
      <c r="O131" s="87"/>
    </row>
    <row r="132" spans="1:15">
      <c r="A132" s="223" t="s">
        <v>416</v>
      </c>
      <c r="B132" s="222" t="s">
        <v>175</v>
      </c>
      <c r="C132" s="78">
        <v>0</v>
      </c>
      <c r="D132" s="137"/>
      <c r="E132" s="137"/>
      <c r="F132" s="78">
        <v>0</v>
      </c>
      <c r="G132" s="78" t="e">
        <f t="shared" si="1"/>
        <v>#DIV/0!</v>
      </c>
      <c r="H132" s="96"/>
      <c r="I132" s="124"/>
      <c r="J132" s="87"/>
      <c r="K132" s="87"/>
      <c r="L132" s="87"/>
      <c r="M132" s="87"/>
      <c r="N132" s="87"/>
      <c r="O132" s="87"/>
    </row>
    <row r="133" spans="1:15">
      <c r="A133" s="223" t="s">
        <v>417</v>
      </c>
      <c r="B133" s="222" t="s">
        <v>177</v>
      </c>
      <c r="C133" s="78">
        <v>0</v>
      </c>
      <c r="D133" s="137"/>
      <c r="E133" s="137"/>
      <c r="F133" s="78">
        <v>0</v>
      </c>
      <c r="G133" s="78" t="e">
        <f t="shared" si="1"/>
        <v>#DIV/0!</v>
      </c>
      <c r="H133" s="96"/>
      <c r="I133" s="124"/>
      <c r="J133" s="87"/>
      <c r="K133" s="87"/>
      <c r="L133" s="87"/>
      <c r="M133" s="87"/>
      <c r="N133" s="87"/>
      <c r="O133" s="87"/>
    </row>
    <row r="134" spans="1:15">
      <c r="A134" s="219" t="s">
        <v>418</v>
      </c>
      <c r="B134" s="220" t="s">
        <v>419</v>
      </c>
      <c r="C134" s="96">
        <f>+C135+C136</f>
        <v>0</v>
      </c>
      <c r="D134" s="137"/>
      <c r="E134" s="137"/>
      <c r="F134" s="96">
        <f>+F135+F136</f>
        <v>0</v>
      </c>
      <c r="G134" s="96" t="e">
        <f t="shared" si="1"/>
        <v>#DIV/0!</v>
      </c>
      <c r="H134" s="96"/>
      <c r="I134" s="124"/>
      <c r="J134" s="87"/>
      <c r="K134" s="87"/>
      <c r="L134" s="87"/>
      <c r="M134" s="87"/>
      <c r="N134" s="87"/>
      <c r="O134" s="87"/>
    </row>
    <row r="135" spans="1:15">
      <c r="A135" s="223" t="s">
        <v>420</v>
      </c>
      <c r="B135" s="222" t="s">
        <v>181</v>
      </c>
      <c r="C135" s="78">
        <v>0</v>
      </c>
      <c r="D135" s="137"/>
      <c r="E135" s="137"/>
      <c r="F135" s="78">
        <v>0</v>
      </c>
      <c r="G135" s="78" t="e">
        <f t="shared" si="1"/>
        <v>#DIV/0!</v>
      </c>
      <c r="H135" s="96"/>
      <c r="I135" s="124"/>
      <c r="J135" s="87"/>
      <c r="K135" s="87"/>
      <c r="L135" s="87"/>
      <c r="M135" s="87"/>
      <c r="N135" s="87"/>
      <c r="O135" s="87"/>
    </row>
    <row r="136" spans="1:15">
      <c r="A136" s="223" t="s">
        <v>421</v>
      </c>
      <c r="B136" s="222" t="s">
        <v>183</v>
      </c>
      <c r="C136" s="78">
        <v>0</v>
      </c>
      <c r="D136" s="137"/>
      <c r="E136" s="137"/>
      <c r="F136" s="78">
        <v>0</v>
      </c>
      <c r="G136" s="78" t="e">
        <f t="shared" si="1"/>
        <v>#DIV/0!</v>
      </c>
      <c r="H136" s="96"/>
      <c r="I136" s="124"/>
      <c r="J136" s="87"/>
      <c r="K136" s="87"/>
      <c r="L136" s="87"/>
      <c r="M136" s="87"/>
      <c r="N136" s="87"/>
      <c r="O136" s="87"/>
    </row>
    <row r="137" spans="1:15">
      <c r="A137" s="219" t="s">
        <v>422</v>
      </c>
      <c r="B137" s="220" t="s">
        <v>423</v>
      </c>
      <c r="C137" s="96">
        <f>+C138+C139+C140</f>
        <v>0</v>
      </c>
      <c r="D137" s="137"/>
      <c r="E137" s="137"/>
      <c r="F137" s="96">
        <f>+F138+F139+F140</f>
        <v>0</v>
      </c>
      <c r="G137" s="96" t="e">
        <f t="shared" ref="G137:G162" si="2">+F137/C137*100</f>
        <v>#DIV/0!</v>
      </c>
      <c r="H137" s="96"/>
      <c r="I137" s="124"/>
      <c r="J137" s="87"/>
      <c r="K137" s="87"/>
      <c r="L137" s="87"/>
      <c r="M137" s="87"/>
      <c r="N137" s="87"/>
      <c r="O137" s="87"/>
    </row>
    <row r="138" spans="1:15">
      <c r="A138" s="223" t="s">
        <v>424</v>
      </c>
      <c r="B138" s="222" t="s">
        <v>425</v>
      </c>
      <c r="C138" s="78">
        <v>0</v>
      </c>
      <c r="D138" s="137"/>
      <c r="E138" s="137"/>
      <c r="F138" s="78">
        <v>0</v>
      </c>
      <c r="G138" s="78" t="e">
        <f t="shared" si="2"/>
        <v>#DIV/0!</v>
      </c>
      <c r="H138" s="96"/>
      <c r="I138" s="124"/>
      <c r="J138" s="87"/>
      <c r="K138" s="87"/>
      <c r="L138" s="87"/>
      <c r="M138" s="87"/>
      <c r="N138" s="87"/>
      <c r="O138" s="87"/>
    </row>
    <row r="139" spans="1:15">
      <c r="A139" s="223" t="s">
        <v>426</v>
      </c>
      <c r="B139" s="222" t="s">
        <v>427</v>
      </c>
      <c r="C139" s="78">
        <v>0</v>
      </c>
      <c r="D139" s="137"/>
      <c r="E139" s="137"/>
      <c r="F139" s="78">
        <v>0</v>
      </c>
      <c r="G139" s="78" t="e">
        <f t="shared" si="2"/>
        <v>#DIV/0!</v>
      </c>
      <c r="H139" s="96"/>
      <c r="I139" s="124"/>
      <c r="J139" s="87"/>
      <c r="K139" s="87"/>
      <c r="L139" s="87"/>
      <c r="M139" s="87"/>
      <c r="N139" s="87"/>
      <c r="O139" s="87"/>
    </row>
    <row r="140" spans="1:15">
      <c r="A140" s="223" t="s">
        <v>428</v>
      </c>
      <c r="B140" s="222" t="s">
        <v>429</v>
      </c>
      <c r="C140" s="78">
        <v>0</v>
      </c>
      <c r="D140" s="137"/>
      <c r="E140" s="137"/>
      <c r="F140" s="78">
        <v>0</v>
      </c>
      <c r="G140" s="78" t="e">
        <f t="shared" si="2"/>
        <v>#DIV/0!</v>
      </c>
      <c r="H140" s="96"/>
      <c r="I140" s="124"/>
      <c r="J140" s="87"/>
      <c r="K140" s="87"/>
      <c r="L140" s="87"/>
      <c r="M140" s="87"/>
      <c r="N140" s="87"/>
      <c r="O140" s="87"/>
    </row>
    <row r="141" spans="1:15">
      <c r="A141" s="219" t="s">
        <v>430</v>
      </c>
      <c r="B141" s="220" t="s">
        <v>431</v>
      </c>
      <c r="C141" s="96">
        <f>+C142+C143</f>
        <v>0</v>
      </c>
      <c r="D141" s="137"/>
      <c r="E141" s="137"/>
      <c r="F141" s="96">
        <f>+F142+F143</f>
        <v>0</v>
      </c>
      <c r="G141" s="96" t="e">
        <f t="shared" si="2"/>
        <v>#DIV/0!</v>
      </c>
      <c r="H141" s="96"/>
      <c r="I141" s="124"/>
      <c r="J141" s="87"/>
      <c r="K141" s="87"/>
      <c r="L141" s="87"/>
      <c r="M141" s="87"/>
      <c r="N141" s="87"/>
      <c r="O141" s="87"/>
    </row>
    <row r="142" spans="1:15">
      <c r="A142" s="223" t="s">
        <v>432</v>
      </c>
      <c r="B142" s="222" t="s">
        <v>433</v>
      </c>
      <c r="C142" s="78">
        <v>0</v>
      </c>
      <c r="D142" s="137"/>
      <c r="E142" s="137"/>
      <c r="F142" s="78">
        <v>0</v>
      </c>
      <c r="G142" s="78" t="e">
        <f t="shared" si="2"/>
        <v>#DIV/0!</v>
      </c>
      <c r="H142" s="96"/>
      <c r="I142" s="124"/>
      <c r="J142" s="87"/>
      <c r="K142" s="87"/>
      <c r="L142" s="87"/>
      <c r="M142" s="87"/>
      <c r="N142" s="87"/>
      <c r="O142" s="87"/>
    </row>
    <row r="143" spans="1:15">
      <c r="A143" s="223" t="s">
        <v>434</v>
      </c>
      <c r="B143" s="222" t="s">
        <v>187</v>
      </c>
      <c r="C143" s="78">
        <v>0</v>
      </c>
      <c r="D143" s="137"/>
      <c r="E143" s="137"/>
      <c r="F143" s="78">
        <v>0</v>
      </c>
      <c r="G143" s="78" t="e">
        <f t="shared" si="2"/>
        <v>#DIV/0!</v>
      </c>
      <c r="H143" s="96"/>
      <c r="I143" s="124"/>
      <c r="J143" s="87"/>
      <c r="K143" s="87"/>
      <c r="L143" s="87"/>
      <c r="M143" s="87"/>
      <c r="N143" s="87"/>
      <c r="O143" s="87"/>
    </row>
    <row r="144" spans="1:15">
      <c r="A144" s="219" t="s">
        <v>435</v>
      </c>
      <c r="B144" s="220" t="s">
        <v>436</v>
      </c>
      <c r="C144" s="96">
        <f>+C145+C146+C147</f>
        <v>0</v>
      </c>
      <c r="D144" s="137"/>
      <c r="E144" s="137"/>
      <c r="F144" s="96">
        <f>+F145+F146+F147</f>
        <v>0</v>
      </c>
      <c r="G144" s="96" t="e">
        <f t="shared" si="2"/>
        <v>#DIV/0!</v>
      </c>
      <c r="H144" s="96"/>
      <c r="I144" s="124"/>
      <c r="J144" s="87"/>
      <c r="K144" s="87"/>
      <c r="L144" s="87"/>
      <c r="M144" s="87"/>
      <c r="N144" s="87"/>
      <c r="O144" s="87"/>
    </row>
    <row r="145" spans="1:15">
      <c r="A145" s="223" t="s">
        <v>437</v>
      </c>
      <c r="B145" s="222" t="s">
        <v>438</v>
      </c>
      <c r="C145" s="78">
        <v>0</v>
      </c>
      <c r="D145" s="137"/>
      <c r="E145" s="137"/>
      <c r="F145" s="78">
        <v>0</v>
      </c>
      <c r="G145" s="78" t="e">
        <f t="shared" si="2"/>
        <v>#DIV/0!</v>
      </c>
      <c r="H145" s="96"/>
      <c r="I145" s="124"/>
      <c r="J145" s="87"/>
      <c r="K145" s="87"/>
      <c r="L145" s="87"/>
      <c r="M145" s="87"/>
      <c r="N145" s="87"/>
      <c r="O145" s="87"/>
    </row>
    <row r="146" spans="1:15">
      <c r="A146" s="223" t="s">
        <v>439</v>
      </c>
      <c r="B146" s="222" t="s">
        <v>440</v>
      </c>
      <c r="C146" s="78">
        <v>0</v>
      </c>
      <c r="D146" s="137"/>
      <c r="E146" s="137"/>
      <c r="F146" s="78">
        <v>0</v>
      </c>
      <c r="G146" s="78" t="e">
        <f t="shared" si="2"/>
        <v>#DIV/0!</v>
      </c>
      <c r="H146" s="96"/>
      <c r="I146" s="124"/>
      <c r="J146" s="87"/>
      <c r="K146" s="87"/>
      <c r="L146" s="87"/>
      <c r="M146" s="87"/>
      <c r="N146" s="87"/>
      <c r="O146" s="87"/>
    </row>
    <row r="147" spans="1:15">
      <c r="A147" s="223" t="s">
        <v>441</v>
      </c>
      <c r="B147" s="222" t="s">
        <v>442</v>
      </c>
      <c r="C147" s="78">
        <v>0</v>
      </c>
      <c r="D147" s="137"/>
      <c r="E147" s="137"/>
      <c r="F147" s="78">
        <v>0</v>
      </c>
      <c r="G147" s="78" t="e">
        <f t="shared" si="2"/>
        <v>#DIV/0!</v>
      </c>
      <c r="H147" s="96"/>
      <c r="I147" s="124"/>
      <c r="J147" s="87"/>
      <c r="K147" s="87"/>
      <c r="L147" s="87"/>
      <c r="M147" s="87"/>
      <c r="N147" s="87"/>
      <c r="O147" s="87"/>
    </row>
    <row r="148" ht="25.5" spans="1:15">
      <c r="A148" s="217" t="s">
        <v>443</v>
      </c>
      <c r="B148" s="218" t="s">
        <v>444</v>
      </c>
      <c r="C148" s="96">
        <f>+C149</f>
        <v>0</v>
      </c>
      <c r="D148" s="79">
        <v>0</v>
      </c>
      <c r="E148" s="79">
        <v>0</v>
      </c>
      <c r="F148" s="96">
        <f>+F149</f>
        <v>0</v>
      </c>
      <c r="G148" s="96" t="e">
        <f t="shared" si="2"/>
        <v>#DIV/0!</v>
      </c>
      <c r="H148" s="96" t="e">
        <f>+F148/D148*100</f>
        <v>#DIV/0!</v>
      </c>
      <c r="I148" s="124"/>
      <c r="J148" s="87"/>
      <c r="K148" s="87"/>
      <c r="L148" s="87"/>
      <c r="M148" s="87"/>
      <c r="N148" s="87"/>
      <c r="O148" s="87"/>
    </row>
    <row r="149" spans="1:15">
      <c r="A149" s="219" t="s">
        <v>445</v>
      </c>
      <c r="B149" s="220" t="s">
        <v>446</v>
      </c>
      <c r="C149" s="96">
        <f>+C150</f>
        <v>0</v>
      </c>
      <c r="D149" s="137"/>
      <c r="E149" s="137"/>
      <c r="F149" s="96">
        <f>+F150</f>
        <v>0</v>
      </c>
      <c r="G149" s="96" t="e">
        <f t="shared" si="2"/>
        <v>#DIV/0!</v>
      </c>
      <c r="H149" s="96"/>
      <c r="I149" s="124"/>
      <c r="J149" s="87"/>
      <c r="K149" s="87"/>
      <c r="L149" s="87"/>
      <c r="M149" s="87"/>
      <c r="N149" s="87"/>
      <c r="O149" s="87"/>
    </row>
    <row r="150" spans="1:15">
      <c r="A150" s="223" t="s">
        <v>447</v>
      </c>
      <c r="B150" s="222" t="s">
        <v>448</v>
      </c>
      <c r="C150" s="78">
        <v>0</v>
      </c>
      <c r="D150" s="137"/>
      <c r="E150" s="137"/>
      <c r="F150" s="78">
        <v>0</v>
      </c>
      <c r="G150" s="78" t="e">
        <f t="shared" si="2"/>
        <v>#DIV/0!</v>
      </c>
      <c r="H150" s="96"/>
      <c r="I150" s="124"/>
      <c r="J150" s="87"/>
      <c r="K150" s="87"/>
      <c r="L150" s="87"/>
      <c r="M150" s="87"/>
      <c r="N150" s="87"/>
      <c r="O150" s="87"/>
    </row>
    <row r="151" spans="1:15">
      <c r="A151" s="217" t="s">
        <v>449</v>
      </c>
      <c r="B151" s="218" t="s">
        <v>450</v>
      </c>
      <c r="C151" s="96">
        <f>+C152</f>
        <v>27</v>
      </c>
      <c r="D151" s="79">
        <v>5000</v>
      </c>
      <c r="E151" s="79">
        <v>5000</v>
      </c>
      <c r="F151" s="96">
        <f>+F152</f>
        <v>620.1</v>
      </c>
      <c r="G151" s="96">
        <f t="shared" si="2"/>
        <v>2296.66666666667</v>
      </c>
      <c r="H151" s="96">
        <f>+F151/D151*100</f>
        <v>12.402</v>
      </c>
      <c r="I151" s="124"/>
      <c r="J151" s="87"/>
      <c r="K151" s="87"/>
      <c r="L151" s="87"/>
      <c r="M151" s="87"/>
      <c r="N151" s="87"/>
      <c r="O151" s="87"/>
    </row>
    <row r="152" spans="1:15">
      <c r="A152" s="219" t="s">
        <v>451</v>
      </c>
      <c r="B152" s="220" t="s">
        <v>452</v>
      </c>
      <c r="C152" s="96">
        <f>+C153</f>
        <v>27</v>
      </c>
      <c r="D152" s="137"/>
      <c r="E152" s="137"/>
      <c r="F152" s="96">
        <f>+F153</f>
        <v>620.1</v>
      </c>
      <c r="G152" s="96">
        <f t="shared" si="2"/>
        <v>2296.66666666667</v>
      </c>
      <c r="H152" s="96"/>
      <c r="I152" s="124"/>
      <c r="J152" s="87"/>
      <c r="K152" s="87"/>
      <c r="L152" s="87"/>
      <c r="M152" s="87"/>
      <c r="N152" s="87"/>
      <c r="O152" s="87"/>
    </row>
    <row r="153" spans="1:15">
      <c r="A153" s="223" t="s">
        <v>453</v>
      </c>
      <c r="B153" s="222" t="s">
        <v>454</v>
      </c>
      <c r="C153" s="78">
        <v>27</v>
      </c>
      <c r="D153" s="137"/>
      <c r="E153" s="137"/>
      <c r="F153" s="78">
        <v>620.1</v>
      </c>
      <c r="G153" s="78">
        <f t="shared" si="2"/>
        <v>2296.66666666667</v>
      </c>
      <c r="H153" s="96"/>
      <c r="I153" s="124"/>
      <c r="J153" s="87"/>
      <c r="K153" s="87"/>
      <c r="L153" s="87"/>
      <c r="M153" s="87"/>
      <c r="N153" s="87"/>
      <c r="O153" s="87"/>
    </row>
    <row r="154" spans="1:15">
      <c r="A154" s="217" t="s">
        <v>455</v>
      </c>
      <c r="B154" s="218" t="s">
        <v>456</v>
      </c>
      <c r="C154" s="96">
        <f>+C155+C157+C159+C161</f>
        <v>0</v>
      </c>
      <c r="D154" s="79">
        <v>60000</v>
      </c>
      <c r="E154" s="79">
        <v>60000</v>
      </c>
      <c r="F154" s="96">
        <f>+F155+F157+F159+F161</f>
        <v>0</v>
      </c>
      <c r="G154" s="96" t="e">
        <f t="shared" si="2"/>
        <v>#DIV/0!</v>
      </c>
      <c r="H154" s="96">
        <f>+F154/D154*100</f>
        <v>0</v>
      </c>
      <c r="I154" s="124"/>
      <c r="J154" s="87"/>
      <c r="K154" s="87"/>
      <c r="L154" s="87"/>
      <c r="M154" s="87"/>
      <c r="N154" s="87"/>
      <c r="O154" s="87"/>
    </row>
    <row r="155" spans="1:15">
      <c r="A155" s="219" t="s">
        <v>457</v>
      </c>
      <c r="B155" s="220" t="s">
        <v>458</v>
      </c>
      <c r="C155" s="96">
        <f>+C156</f>
        <v>0</v>
      </c>
      <c r="D155" s="137"/>
      <c r="E155" s="137"/>
      <c r="F155" s="96">
        <f>+F156</f>
        <v>0</v>
      </c>
      <c r="G155" s="96" t="e">
        <f t="shared" si="2"/>
        <v>#DIV/0!</v>
      </c>
      <c r="H155" s="96"/>
      <c r="I155" s="124"/>
      <c r="J155" s="87"/>
      <c r="K155" s="87"/>
      <c r="L155" s="87"/>
      <c r="M155" s="87"/>
      <c r="N155" s="87"/>
      <c r="O155" s="87"/>
    </row>
    <row r="156" spans="1:15">
      <c r="A156" s="223" t="s">
        <v>459</v>
      </c>
      <c r="B156" s="222" t="s">
        <v>458</v>
      </c>
      <c r="C156" s="78">
        <v>0</v>
      </c>
      <c r="D156" s="137"/>
      <c r="E156" s="137"/>
      <c r="F156" s="78">
        <v>0</v>
      </c>
      <c r="G156" s="78" t="e">
        <f t="shared" si="2"/>
        <v>#DIV/0!</v>
      </c>
      <c r="H156" s="96"/>
      <c r="I156" s="124"/>
      <c r="J156" s="87"/>
      <c r="K156" s="87"/>
      <c r="L156" s="87"/>
      <c r="M156" s="87"/>
      <c r="N156" s="87"/>
      <c r="O156" s="87"/>
    </row>
    <row r="157" spans="1:15">
      <c r="A157" s="219" t="s">
        <v>460</v>
      </c>
      <c r="B157" s="220" t="s">
        <v>461</v>
      </c>
      <c r="C157" s="96">
        <f>+C158</f>
        <v>0</v>
      </c>
      <c r="D157" s="137"/>
      <c r="E157" s="137"/>
      <c r="F157" s="96">
        <f>+F158</f>
        <v>0</v>
      </c>
      <c r="G157" s="96" t="e">
        <f t="shared" si="2"/>
        <v>#DIV/0!</v>
      </c>
      <c r="H157" s="96"/>
      <c r="I157" s="124"/>
      <c r="J157" s="87"/>
      <c r="K157" s="87"/>
      <c r="L157" s="87"/>
      <c r="M157" s="87"/>
      <c r="N157" s="87"/>
      <c r="O157" s="87"/>
    </row>
    <row r="158" spans="1:15">
      <c r="A158" s="223" t="s">
        <v>462</v>
      </c>
      <c r="B158" s="222" t="s">
        <v>461</v>
      </c>
      <c r="C158" s="78">
        <v>0</v>
      </c>
      <c r="D158" s="137"/>
      <c r="E158" s="137"/>
      <c r="F158" s="78">
        <v>0</v>
      </c>
      <c r="G158" s="78" t="e">
        <f t="shared" si="2"/>
        <v>#DIV/0!</v>
      </c>
      <c r="H158" s="96"/>
      <c r="I158" s="124"/>
      <c r="J158" s="87"/>
      <c r="K158" s="87"/>
      <c r="L158" s="87"/>
      <c r="M158" s="87"/>
      <c r="N158" s="87"/>
      <c r="O158" s="87"/>
    </row>
    <row r="159" spans="1:15">
      <c r="A159" s="219" t="s">
        <v>463</v>
      </c>
      <c r="B159" s="220" t="s">
        <v>464</v>
      </c>
      <c r="C159" s="96">
        <f>+C160</f>
        <v>0</v>
      </c>
      <c r="D159" s="137"/>
      <c r="E159" s="137"/>
      <c r="F159" s="96">
        <f>+F160</f>
        <v>0</v>
      </c>
      <c r="G159" s="96" t="e">
        <f t="shared" si="2"/>
        <v>#DIV/0!</v>
      </c>
      <c r="H159" s="96"/>
      <c r="I159" s="124"/>
      <c r="J159" s="87"/>
      <c r="K159" s="87"/>
      <c r="L159" s="87"/>
      <c r="M159" s="87"/>
      <c r="N159" s="87"/>
      <c r="O159" s="87"/>
    </row>
    <row r="160" spans="1:15">
      <c r="A160" s="223" t="s">
        <v>465</v>
      </c>
      <c r="B160" s="222" t="s">
        <v>464</v>
      </c>
      <c r="C160" s="78">
        <v>0</v>
      </c>
      <c r="D160" s="137"/>
      <c r="E160" s="137"/>
      <c r="F160" s="78">
        <v>0</v>
      </c>
      <c r="G160" s="78" t="e">
        <f t="shared" si="2"/>
        <v>#DIV/0!</v>
      </c>
      <c r="H160" s="96"/>
      <c r="I160" s="124"/>
      <c r="J160" s="87"/>
      <c r="K160" s="87"/>
      <c r="L160" s="87"/>
      <c r="M160" s="87"/>
      <c r="N160" s="87"/>
      <c r="O160" s="87"/>
    </row>
    <row r="161" spans="1:15">
      <c r="A161" s="219" t="s">
        <v>466</v>
      </c>
      <c r="B161" s="220" t="s">
        <v>467</v>
      </c>
      <c r="C161" s="96">
        <f>+C162</f>
        <v>0</v>
      </c>
      <c r="D161" s="137"/>
      <c r="E161" s="137"/>
      <c r="F161" s="96">
        <f>+F162</f>
        <v>0</v>
      </c>
      <c r="G161" s="96" t="e">
        <f t="shared" si="2"/>
        <v>#DIV/0!</v>
      </c>
      <c r="H161" s="96"/>
      <c r="I161" s="124"/>
      <c r="J161" s="87"/>
      <c r="K161" s="87"/>
      <c r="L161" s="87"/>
      <c r="M161" s="87"/>
      <c r="N161" s="87"/>
      <c r="O161" s="87"/>
    </row>
    <row r="162" spans="1:15">
      <c r="A162" s="223" t="s">
        <v>468</v>
      </c>
      <c r="B162" s="222" t="s">
        <v>467</v>
      </c>
      <c r="C162" s="78">
        <v>0</v>
      </c>
      <c r="D162" s="137"/>
      <c r="E162" s="137"/>
      <c r="F162" s="78">
        <v>0</v>
      </c>
      <c r="G162" s="78" t="e">
        <f t="shared" si="2"/>
        <v>#DIV/0!</v>
      </c>
      <c r="H162" s="96"/>
      <c r="I162" s="124"/>
      <c r="J162" s="87"/>
      <c r="K162" s="87"/>
      <c r="L162" s="87"/>
      <c r="M162" s="87"/>
      <c r="N162" s="87"/>
      <c r="O162" s="87"/>
    </row>
    <row r="163" spans="8:8">
      <c r="H163" s="147"/>
    </row>
    <row r="166" spans="1:1">
      <c r="A166" s="56" t="s">
        <v>469</v>
      </c>
    </row>
    <row r="167" spans="1:1">
      <c r="A167" s="56" t="s">
        <v>470</v>
      </c>
    </row>
    <row r="168" spans="1:1">
      <c r="A168" s="56" t="s">
        <v>471</v>
      </c>
    </row>
    <row r="169" spans="1:1">
      <c r="A169" s="56" t="s">
        <v>472</v>
      </c>
    </row>
    <row r="170" spans="1:1">
      <c r="A170" s="56" t="s">
        <v>473</v>
      </c>
    </row>
    <row r="171" spans="1:1">
      <c r="A171" s="56" t="s">
        <v>474</v>
      </c>
    </row>
    <row r="172" spans="1:1">
      <c r="A172" s="56" t="s">
        <v>475</v>
      </c>
    </row>
  </sheetData>
  <mergeCells count="5">
    <mergeCell ref="A1:H1"/>
    <mergeCell ref="A3:H3"/>
    <mergeCell ref="A5:H5"/>
    <mergeCell ref="A7:B7"/>
    <mergeCell ref="A8:B8"/>
  </mergeCells>
  <pageMargins left="0.708661417322835" right="0.708661417322835" top="0.748031496062992" bottom="0.354330708661417" header="0.31496062992126" footer="0.31496062992126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zoomScale="120" zoomScaleNormal="120" topLeftCell="A4" workbookViewId="0">
      <pane xSplit="2" ySplit="6" topLeftCell="C10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2.75"/>
  <cols>
    <col min="1" max="1" width="19" style="56" customWidth="1"/>
    <col min="2" max="2" width="49.5714285714286" style="57" customWidth="1"/>
    <col min="3" max="3" width="16.4285714285714" style="58" customWidth="1"/>
    <col min="4" max="5" width="17.7142857142857" style="59" customWidth="1"/>
    <col min="6" max="6" width="15.7142857142857" style="58" customWidth="1"/>
    <col min="7" max="8" width="13" style="58" customWidth="1"/>
    <col min="9" max="9" width="15.4285714285714" style="56" customWidth="1"/>
    <col min="10" max="10" width="12.4952380952381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9" style="56" customWidth="1"/>
    <col min="258" max="258" width="57.5714285714286" style="56" customWidth="1"/>
    <col min="259" max="259" width="16.4285714285714" style="56" customWidth="1"/>
    <col min="260" max="261" width="17.7142857142857" style="56" customWidth="1"/>
    <col min="262" max="263" width="15.7142857142857" style="56" customWidth="1"/>
    <col min="264" max="264" width="19.7142857142857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9" style="56" customWidth="1"/>
    <col min="514" max="514" width="57.5714285714286" style="56" customWidth="1"/>
    <col min="515" max="515" width="16.4285714285714" style="56" customWidth="1"/>
    <col min="516" max="517" width="17.7142857142857" style="56" customWidth="1"/>
    <col min="518" max="519" width="15.7142857142857" style="56" customWidth="1"/>
    <col min="520" max="520" width="19.7142857142857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9" style="56" customWidth="1"/>
    <col min="770" max="770" width="57.5714285714286" style="56" customWidth="1"/>
    <col min="771" max="771" width="16.4285714285714" style="56" customWidth="1"/>
    <col min="772" max="773" width="17.7142857142857" style="56" customWidth="1"/>
    <col min="774" max="775" width="15.7142857142857" style="56" customWidth="1"/>
    <col min="776" max="776" width="19.7142857142857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9" style="56" customWidth="1"/>
    <col min="1026" max="1026" width="57.5714285714286" style="56" customWidth="1"/>
    <col min="1027" max="1027" width="16.4285714285714" style="56" customWidth="1"/>
    <col min="1028" max="1029" width="17.7142857142857" style="56" customWidth="1"/>
    <col min="1030" max="1031" width="15.7142857142857" style="56" customWidth="1"/>
    <col min="1032" max="1032" width="19.7142857142857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9" style="56" customWidth="1"/>
    <col min="1282" max="1282" width="57.5714285714286" style="56" customWidth="1"/>
    <col min="1283" max="1283" width="16.4285714285714" style="56" customWidth="1"/>
    <col min="1284" max="1285" width="17.7142857142857" style="56" customWidth="1"/>
    <col min="1286" max="1287" width="15.7142857142857" style="56" customWidth="1"/>
    <col min="1288" max="1288" width="19.7142857142857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9" style="56" customWidth="1"/>
    <col min="1538" max="1538" width="57.5714285714286" style="56" customWidth="1"/>
    <col min="1539" max="1539" width="16.4285714285714" style="56" customWidth="1"/>
    <col min="1540" max="1541" width="17.7142857142857" style="56" customWidth="1"/>
    <col min="1542" max="1543" width="15.7142857142857" style="56" customWidth="1"/>
    <col min="1544" max="1544" width="19.7142857142857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9" style="56" customWidth="1"/>
    <col min="1794" max="1794" width="57.5714285714286" style="56" customWidth="1"/>
    <col min="1795" max="1795" width="16.4285714285714" style="56" customWidth="1"/>
    <col min="1796" max="1797" width="17.7142857142857" style="56" customWidth="1"/>
    <col min="1798" max="1799" width="15.7142857142857" style="56" customWidth="1"/>
    <col min="1800" max="1800" width="19.7142857142857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9" style="56" customWidth="1"/>
    <col min="2050" max="2050" width="57.5714285714286" style="56" customWidth="1"/>
    <col min="2051" max="2051" width="16.4285714285714" style="56" customWidth="1"/>
    <col min="2052" max="2053" width="17.7142857142857" style="56" customWidth="1"/>
    <col min="2054" max="2055" width="15.7142857142857" style="56" customWidth="1"/>
    <col min="2056" max="2056" width="19.7142857142857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9" style="56" customWidth="1"/>
    <col min="2306" max="2306" width="57.5714285714286" style="56" customWidth="1"/>
    <col min="2307" max="2307" width="16.4285714285714" style="56" customWidth="1"/>
    <col min="2308" max="2309" width="17.7142857142857" style="56" customWidth="1"/>
    <col min="2310" max="2311" width="15.7142857142857" style="56" customWidth="1"/>
    <col min="2312" max="2312" width="19.7142857142857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9" style="56" customWidth="1"/>
    <col min="2562" max="2562" width="57.5714285714286" style="56" customWidth="1"/>
    <col min="2563" max="2563" width="16.4285714285714" style="56" customWidth="1"/>
    <col min="2564" max="2565" width="17.7142857142857" style="56" customWidth="1"/>
    <col min="2566" max="2567" width="15.7142857142857" style="56" customWidth="1"/>
    <col min="2568" max="2568" width="19.7142857142857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9" style="56" customWidth="1"/>
    <col min="2818" max="2818" width="57.5714285714286" style="56" customWidth="1"/>
    <col min="2819" max="2819" width="16.4285714285714" style="56" customWidth="1"/>
    <col min="2820" max="2821" width="17.7142857142857" style="56" customWidth="1"/>
    <col min="2822" max="2823" width="15.7142857142857" style="56" customWidth="1"/>
    <col min="2824" max="2824" width="19.7142857142857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9" style="56" customWidth="1"/>
    <col min="3074" max="3074" width="57.5714285714286" style="56" customWidth="1"/>
    <col min="3075" max="3075" width="16.4285714285714" style="56" customWidth="1"/>
    <col min="3076" max="3077" width="17.7142857142857" style="56" customWidth="1"/>
    <col min="3078" max="3079" width="15.7142857142857" style="56" customWidth="1"/>
    <col min="3080" max="3080" width="19.7142857142857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9" style="56" customWidth="1"/>
    <col min="3330" max="3330" width="57.5714285714286" style="56" customWidth="1"/>
    <col min="3331" max="3331" width="16.4285714285714" style="56" customWidth="1"/>
    <col min="3332" max="3333" width="17.7142857142857" style="56" customWidth="1"/>
    <col min="3334" max="3335" width="15.7142857142857" style="56" customWidth="1"/>
    <col min="3336" max="3336" width="19.7142857142857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9" style="56" customWidth="1"/>
    <col min="3586" max="3586" width="57.5714285714286" style="56" customWidth="1"/>
    <col min="3587" max="3587" width="16.4285714285714" style="56" customWidth="1"/>
    <col min="3588" max="3589" width="17.7142857142857" style="56" customWidth="1"/>
    <col min="3590" max="3591" width="15.7142857142857" style="56" customWidth="1"/>
    <col min="3592" max="3592" width="19.7142857142857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9" style="56" customWidth="1"/>
    <col min="3842" max="3842" width="57.5714285714286" style="56" customWidth="1"/>
    <col min="3843" max="3843" width="16.4285714285714" style="56" customWidth="1"/>
    <col min="3844" max="3845" width="17.7142857142857" style="56" customWidth="1"/>
    <col min="3846" max="3847" width="15.7142857142857" style="56" customWidth="1"/>
    <col min="3848" max="3848" width="19.7142857142857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9" style="56" customWidth="1"/>
    <col min="4098" max="4098" width="57.5714285714286" style="56" customWidth="1"/>
    <col min="4099" max="4099" width="16.4285714285714" style="56" customWidth="1"/>
    <col min="4100" max="4101" width="17.7142857142857" style="56" customWidth="1"/>
    <col min="4102" max="4103" width="15.7142857142857" style="56" customWidth="1"/>
    <col min="4104" max="4104" width="19.7142857142857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9" style="56" customWidth="1"/>
    <col min="4354" max="4354" width="57.5714285714286" style="56" customWidth="1"/>
    <col min="4355" max="4355" width="16.4285714285714" style="56" customWidth="1"/>
    <col min="4356" max="4357" width="17.7142857142857" style="56" customWidth="1"/>
    <col min="4358" max="4359" width="15.7142857142857" style="56" customWidth="1"/>
    <col min="4360" max="4360" width="19.7142857142857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9" style="56" customWidth="1"/>
    <col min="4610" max="4610" width="57.5714285714286" style="56" customWidth="1"/>
    <col min="4611" max="4611" width="16.4285714285714" style="56" customWidth="1"/>
    <col min="4612" max="4613" width="17.7142857142857" style="56" customWidth="1"/>
    <col min="4614" max="4615" width="15.7142857142857" style="56" customWidth="1"/>
    <col min="4616" max="4616" width="19.7142857142857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9" style="56" customWidth="1"/>
    <col min="4866" max="4866" width="57.5714285714286" style="56" customWidth="1"/>
    <col min="4867" max="4867" width="16.4285714285714" style="56" customWidth="1"/>
    <col min="4868" max="4869" width="17.7142857142857" style="56" customWidth="1"/>
    <col min="4870" max="4871" width="15.7142857142857" style="56" customWidth="1"/>
    <col min="4872" max="4872" width="19.7142857142857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9" style="56" customWidth="1"/>
    <col min="5122" max="5122" width="57.5714285714286" style="56" customWidth="1"/>
    <col min="5123" max="5123" width="16.4285714285714" style="56" customWidth="1"/>
    <col min="5124" max="5125" width="17.7142857142857" style="56" customWidth="1"/>
    <col min="5126" max="5127" width="15.7142857142857" style="56" customWidth="1"/>
    <col min="5128" max="5128" width="19.7142857142857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9" style="56" customWidth="1"/>
    <col min="5378" max="5378" width="57.5714285714286" style="56" customWidth="1"/>
    <col min="5379" max="5379" width="16.4285714285714" style="56" customWidth="1"/>
    <col min="5380" max="5381" width="17.7142857142857" style="56" customWidth="1"/>
    <col min="5382" max="5383" width="15.7142857142857" style="56" customWidth="1"/>
    <col min="5384" max="5384" width="19.7142857142857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9" style="56" customWidth="1"/>
    <col min="5634" max="5634" width="57.5714285714286" style="56" customWidth="1"/>
    <col min="5635" max="5635" width="16.4285714285714" style="56" customWidth="1"/>
    <col min="5636" max="5637" width="17.7142857142857" style="56" customWidth="1"/>
    <col min="5638" max="5639" width="15.7142857142857" style="56" customWidth="1"/>
    <col min="5640" max="5640" width="19.7142857142857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9" style="56" customWidth="1"/>
    <col min="5890" max="5890" width="57.5714285714286" style="56" customWidth="1"/>
    <col min="5891" max="5891" width="16.4285714285714" style="56" customWidth="1"/>
    <col min="5892" max="5893" width="17.7142857142857" style="56" customWidth="1"/>
    <col min="5894" max="5895" width="15.7142857142857" style="56" customWidth="1"/>
    <col min="5896" max="5896" width="19.7142857142857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9" style="56" customWidth="1"/>
    <col min="6146" max="6146" width="57.5714285714286" style="56" customWidth="1"/>
    <col min="6147" max="6147" width="16.4285714285714" style="56" customWidth="1"/>
    <col min="6148" max="6149" width="17.7142857142857" style="56" customWidth="1"/>
    <col min="6150" max="6151" width="15.7142857142857" style="56" customWidth="1"/>
    <col min="6152" max="6152" width="19.7142857142857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9" style="56" customWidth="1"/>
    <col min="6402" max="6402" width="57.5714285714286" style="56" customWidth="1"/>
    <col min="6403" max="6403" width="16.4285714285714" style="56" customWidth="1"/>
    <col min="6404" max="6405" width="17.7142857142857" style="56" customWidth="1"/>
    <col min="6406" max="6407" width="15.7142857142857" style="56" customWidth="1"/>
    <col min="6408" max="6408" width="19.7142857142857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9" style="56" customWidth="1"/>
    <col min="6658" max="6658" width="57.5714285714286" style="56" customWidth="1"/>
    <col min="6659" max="6659" width="16.4285714285714" style="56" customWidth="1"/>
    <col min="6660" max="6661" width="17.7142857142857" style="56" customWidth="1"/>
    <col min="6662" max="6663" width="15.7142857142857" style="56" customWidth="1"/>
    <col min="6664" max="6664" width="19.7142857142857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9" style="56" customWidth="1"/>
    <col min="6914" max="6914" width="57.5714285714286" style="56" customWidth="1"/>
    <col min="6915" max="6915" width="16.4285714285714" style="56" customWidth="1"/>
    <col min="6916" max="6917" width="17.7142857142857" style="56" customWidth="1"/>
    <col min="6918" max="6919" width="15.7142857142857" style="56" customWidth="1"/>
    <col min="6920" max="6920" width="19.7142857142857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9" style="56" customWidth="1"/>
    <col min="7170" max="7170" width="57.5714285714286" style="56" customWidth="1"/>
    <col min="7171" max="7171" width="16.4285714285714" style="56" customWidth="1"/>
    <col min="7172" max="7173" width="17.7142857142857" style="56" customWidth="1"/>
    <col min="7174" max="7175" width="15.7142857142857" style="56" customWidth="1"/>
    <col min="7176" max="7176" width="19.7142857142857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9" style="56" customWidth="1"/>
    <col min="7426" max="7426" width="57.5714285714286" style="56" customWidth="1"/>
    <col min="7427" max="7427" width="16.4285714285714" style="56" customWidth="1"/>
    <col min="7428" max="7429" width="17.7142857142857" style="56" customWidth="1"/>
    <col min="7430" max="7431" width="15.7142857142857" style="56" customWidth="1"/>
    <col min="7432" max="7432" width="19.7142857142857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9" style="56" customWidth="1"/>
    <col min="7682" max="7682" width="57.5714285714286" style="56" customWidth="1"/>
    <col min="7683" max="7683" width="16.4285714285714" style="56" customWidth="1"/>
    <col min="7684" max="7685" width="17.7142857142857" style="56" customWidth="1"/>
    <col min="7686" max="7687" width="15.7142857142857" style="56" customWidth="1"/>
    <col min="7688" max="7688" width="19.7142857142857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9" style="56" customWidth="1"/>
    <col min="7938" max="7938" width="57.5714285714286" style="56" customWidth="1"/>
    <col min="7939" max="7939" width="16.4285714285714" style="56" customWidth="1"/>
    <col min="7940" max="7941" width="17.7142857142857" style="56" customWidth="1"/>
    <col min="7942" max="7943" width="15.7142857142857" style="56" customWidth="1"/>
    <col min="7944" max="7944" width="19.7142857142857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9" style="56" customWidth="1"/>
    <col min="8194" max="8194" width="57.5714285714286" style="56" customWidth="1"/>
    <col min="8195" max="8195" width="16.4285714285714" style="56" customWidth="1"/>
    <col min="8196" max="8197" width="17.7142857142857" style="56" customWidth="1"/>
    <col min="8198" max="8199" width="15.7142857142857" style="56" customWidth="1"/>
    <col min="8200" max="8200" width="19.7142857142857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9" style="56" customWidth="1"/>
    <col min="8450" max="8450" width="57.5714285714286" style="56" customWidth="1"/>
    <col min="8451" max="8451" width="16.4285714285714" style="56" customWidth="1"/>
    <col min="8452" max="8453" width="17.7142857142857" style="56" customWidth="1"/>
    <col min="8454" max="8455" width="15.7142857142857" style="56" customWidth="1"/>
    <col min="8456" max="8456" width="19.7142857142857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9" style="56" customWidth="1"/>
    <col min="8706" max="8706" width="57.5714285714286" style="56" customWidth="1"/>
    <col min="8707" max="8707" width="16.4285714285714" style="56" customWidth="1"/>
    <col min="8708" max="8709" width="17.7142857142857" style="56" customWidth="1"/>
    <col min="8710" max="8711" width="15.7142857142857" style="56" customWidth="1"/>
    <col min="8712" max="8712" width="19.7142857142857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9" style="56" customWidth="1"/>
    <col min="8962" max="8962" width="57.5714285714286" style="56" customWidth="1"/>
    <col min="8963" max="8963" width="16.4285714285714" style="56" customWidth="1"/>
    <col min="8964" max="8965" width="17.7142857142857" style="56" customWidth="1"/>
    <col min="8966" max="8967" width="15.7142857142857" style="56" customWidth="1"/>
    <col min="8968" max="8968" width="19.7142857142857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9" style="56" customWidth="1"/>
    <col min="9218" max="9218" width="57.5714285714286" style="56" customWidth="1"/>
    <col min="9219" max="9219" width="16.4285714285714" style="56" customWidth="1"/>
    <col min="9220" max="9221" width="17.7142857142857" style="56" customWidth="1"/>
    <col min="9222" max="9223" width="15.7142857142857" style="56" customWidth="1"/>
    <col min="9224" max="9224" width="19.7142857142857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9" style="56" customWidth="1"/>
    <col min="9474" max="9474" width="57.5714285714286" style="56" customWidth="1"/>
    <col min="9475" max="9475" width="16.4285714285714" style="56" customWidth="1"/>
    <col min="9476" max="9477" width="17.7142857142857" style="56" customWidth="1"/>
    <col min="9478" max="9479" width="15.7142857142857" style="56" customWidth="1"/>
    <col min="9480" max="9480" width="19.7142857142857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9" style="56" customWidth="1"/>
    <col min="9730" max="9730" width="57.5714285714286" style="56" customWidth="1"/>
    <col min="9731" max="9731" width="16.4285714285714" style="56" customWidth="1"/>
    <col min="9732" max="9733" width="17.7142857142857" style="56" customWidth="1"/>
    <col min="9734" max="9735" width="15.7142857142857" style="56" customWidth="1"/>
    <col min="9736" max="9736" width="19.7142857142857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9" style="56" customWidth="1"/>
    <col min="9986" max="9986" width="57.5714285714286" style="56" customWidth="1"/>
    <col min="9987" max="9987" width="16.4285714285714" style="56" customWidth="1"/>
    <col min="9988" max="9989" width="17.7142857142857" style="56" customWidth="1"/>
    <col min="9990" max="9991" width="15.7142857142857" style="56" customWidth="1"/>
    <col min="9992" max="9992" width="19.7142857142857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9" style="56" customWidth="1"/>
    <col min="10242" max="10242" width="57.5714285714286" style="56" customWidth="1"/>
    <col min="10243" max="10243" width="16.4285714285714" style="56" customWidth="1"/>
    <col min="10244" max="10245" width="17.7142857142857" style="56" customWidth="1"/>
    <col min="10246" max="10247" width="15.7142857142857" style="56" customWidth="1"/>
    <col min="10248" max="10248" width="19.7142857142857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9" style="56" customWidth="1"/>
    <col min="10498" max="10498" width="57.5714285714286" style="56" customWidth="1"/>
    <col min="10499" max="10499" width="16.4285714285714" style="56" customWidth="1"/>
    <col min="10500" max="10501" width="17.7142857142857" style="56" customWidth="1"/>
    <col min="10502" max="10503" width="15.7142857142857" style="56" customWidth="1"/>
    <col min="10504" max="10504" width="19.7142857142857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9" style="56" customWidth="1"/>
    <col min="10754" max="10754" width="57.5714285714286" style="56" customWidth="1"/>
    <col min="10755" max="10755" width="16.4285714285714" style="56" customWidth="1"/>
    <col min="10756" max="10757" width="17.7142857142857" style="56" customWidth="1"/>
    <col min="10758" max="10759" width="15.7142857142857" style="56" customWidth="1"/>
    <col min="10760" max="10760" width="19.7142857142857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9" style="56" customWidth="1"/>
    <col min="11010" max="11010" width="57.5714285714286" style="56" customWidth="1"/>
    <col min="11011" max="11011" width="16.4285714285714" style="56" customWidth="1"/>
    <col min="11012" max="11013" width="17.7142857142857" style="56" customWidth="1"/>
    <col min="11014" max="11015" width="15.7142857142857" style="56" customWidth="1"/>
    <col min="11016" max="11016" width="19.7142857142857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9" style="56" customWidth="1"/>
    <col min="11266" max="11266" width="57.5714285714286" style="56" customWidth="1"/>
    <col min="11267" max="11267" width="16.4285714285714" style="56" customWidth="1"/>
    <col min="11268" max="11269" width="17.7142857142857" style="56" customWidth="1"/>
    <col min="11270" max="11271" width="15.7142857142857" style="56" customWidth="1"/>
    <col min="11272" max="11272" width="19.7142857142857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9" style="56" customWidth="1"/>
    <col min="11522" max="11522" width="57.5714285714286" style="56" customWidth="1"/>
    <col min="11523" max="11523" width="16.4285714285714" style="56" customWidth="1"/>
    <col min="11524" max="11525" width="17.7142857142857" style="56" customWidth="1"/>
    <col min="11526" max="11527" width="15.7142857142857" style="56" customWidth="1"/>
    <col min="11528" max="11528" width="19.7142857142857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9" style="56" customWidth="1"/>
    <col min="11778" max="11778" width="57.5714285714286" style="56" customWidth="1"/>
    <col min="11779" max="11779" width="16.4285714285714" style="56" customWidth="1"/>
    <col min="11780" max="11781" width="17.7142857142857" style="56" customWidth="1"/>
    <col min="11782" max="11783" width="15.7142857142857" style="56" customWidth="1"/>
    <col min="11784" max="11784" width="19.7142857142857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9" style="56" customWidth="1"/>
    <col min="12034" max="12034" width="57.5714285714286" style="56" customWidth="1"/>
    <col min="12035" max="12035" width="16.4285714285714" style="56" customWidth="1"/>
    <col min="12036" max="12037" width="17.7142857142857" style="56" customWidth="1"/>
    <col min="12038" max="12039" width="15.7142857142857" style="56" customWidth="1"/>
    <col min="12040" max="12040" width="19.7142857142857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9" style="56" customWidth="1"/>
    <col min="12290" max="12290" width="57.5714285714286" style="56" customWidth="1"/>
    <col min="12291" max="12291" width="16.4285714285714" style="56" customWidth="1"/>
    <col min="12292" max="12293" width="17.7142857142857" style="56" customWidth="1"/>
    <col min="12294" max="12295" width="15.7142857142857" style="56" customWidth="1"/>
    <col min="12296" max="12296" width="19.7142857142857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9" style="56" customWidth="1"/>
    <col min="12546" max="12546" width="57.5714285714286" style="56" customWidth="1"/>
    <col min="12547" max="12547" width="16.4285714285714" style="56" customWidth="1"/>
    <col min="12548" max="12549" width="17.7142857142857" style="56" customWidth="1"/>
    <col min="12550" max="12551" width="15.7142857142857" style="56" customWidth="1"/>
    <col min="12552" max="12552" width="19.7142857142857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9" style="56" customWidth="1"/>
    <col min="12802" max="12802" width="57.5714285714286" style="56" customWidth="1"/>
    <col min="12803" max="12803" width="16.4285714285714" style="56" customWidth="1"/>
    <col min="12804" max="12805" width="17.7142857142857" style="56" customWidth="1"/>
    <col min="12806" max="12807" width="15.7142857142857" style="56" customWidth="1"/>
    <col min="12808" max="12808" width="19.7142857142857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9" style="56" customWidth="1"/>
    <col min="13058" max="13058" width="57.5714285714286" style="56" customWidth="1"/>
    <col min="13059" max="13059" width="16.4285714285714" style="56" customWidth="1"/>
    <col min="13060" max="13061" width="17.7142857142857" style="56" customWidth="1"/>
    <col min="13062" max="13063" width="15.7142857142857" style="56" customWidth="1"/>
    <col min="13064" max="13064" width="19.7142857142857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9" style="56" customWidth="1"/>
    <col min="13314" max="13314" width="57.5714285714286" style="56" customWidth="1"/>
    <col min="13315" max="13315" width="16.4285714285714" style="56" customWidth="1"/>
    <col min="13316" max="13317" width="17.7142857142857" style="56" customWidth="1"/>
    <col min="13318" max="13319" width="15.7142857142857" style="56" customWidth="1"/>
    <col min="13320" max="13320" width="19.7142857142857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9" style="56" customWidth="1"/>
    <col min="13570" max="13570" width="57.5714285714286" style="56" customWidth="1"/>
    <col min="13571" max="13571" width="16.4285714285714" style="56" customWidth="1"/>
    <col min="13572" max="13573" width="17.7142857142857" style="56" customWidth="1"/>
    <col min="13574" max="13575" width="15.7142857142857" style="56" customWidth="1"/>
    <col min="13576" max="13576" width="19.7142857142857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9" style="56" customWidth="1"/>
    <col min="13826" max="13826" width="57.5714285714286" style="56" customWidth="1"/>
    <col min="13827" max="13827" width="16.4285714285714" style="56" customWidth="1"/>
    <col min="13828" max="13829" width="17.7142857142857" style="56" customWidth="1"/>
    <col min="13830" max="13831" width="15.7142857142857" style="56" customWidth="1"/>
    <col min="13832" max="13832" width="19.7142857142857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9" style="56" customWidth="1"/>
    <col min="14082" max="14082" width="57.5714285714286" style="56" customWidth="1"/>
    <col min="14083" max="14083" width="16.4285714285714" style="56" customWidth="1"/>
    <col min="14084" max="14085" width="17.7142857142857" style="56" customWidth="1"/>
    <col min="14086" max="14087" width="15.7142857142857" style="56" customWidth="1"/>
    <col min="14088" max="14088" width="19.7142857142857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9" style="56" customWidth="1"/>
    <col min="14338" max="14338" width="57.5714285714286" style="56" customWidth="1"/>
    <col min="14339" max="14339" width="16.4285714285714" style="56" customWidth="1"/>
    <col min="14340" max="14341" width="17.7142857142857" style="56" customWidth="1"/>
    <col min="14342" max="14343" width="15.7142857142857" style="56" customWidth="1"/>
    <col min="14344" max="14344" width="19.7142857142857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9" style="56" customWidth="1"/>
    <col min="14594" max="14594" width="57.5714285714286" style="56" customWidth="1"/>
    <col min="14595" max="14595" width="16.4285714285714" style="56" customWidth="1"/>
    <col min="14596" max="14597" width="17.7142857142857" style="56" customWidth="1"/>
    <col min="14598" max="14599" width="15.7142857142857" style="56" customWidth="1"/>
    <col min="14600" max="14600" width="19.7142857142857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9" style="56" customWidth="1"/>
    <col min="14850" max="14850" width="57.5714285714286" style="56" customWidth="1"/>
    <col min="14851" max="14851" width="16.4285714285714" style="56" customWidth="1"/>
    <col min="14852" max="14853" width="17.7142857142857" style="56" customWidth="1"/>
    <col min="14854" max="14855" width="15.7142857142857" style="56" customWidth="1"/>
    <col min="14856" max="14856" width="19.7142857142857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9" style="56" customWidth="1"/>
    <col min="15106" max="15106" width="57.5714285714286" style="56" customWidth="1"/>
    <col min="15107" max="15107" width="16.4285714285714" style="56" customWidth="1"/>
    <col min="15108" max="15109" width="17.7142857142857" style="56" customWidth="1"/>
    <col min="15110" max="15111" width="15.7142857142857" style="56" customWidth="1"/>
    <col min="15112" max="15112" width="19.7142857142857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9" style="56" customWidth="1"/>
    <col min="15362" max="15362" width="57.5714285714286" style="56" customWidth="1"/>
    <col min="15363" max="15363" width="16.4285714285714" style="56" customWidth="1"/>
    <col min="15364" max="15365" width="17.7142857142857" style="56" customWidth="1"/>
    <col min="15366" max="15367" width="15.7142857142857" style="56" customWidth="1"/>
    <col min="15368" max="15368" width="19.7142857142857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9" style="56" customWidth="1"/>
    <col min="15618" max="15618" width="57.5714285714286" style="56" customWidth="1"/>
    <col min="15619" max="15619" width="16.4285714285714" style="56" customWidth="1"/>
    <col min="15620" max="15621" width="17.7142857142857" style="56" customWidth="1"/>
    <col min="15622" max="15623" width="15.7142857142857" style="56" customWidth="1"/>
    <col min="15624" max="15624" width="19.7142857142857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9" style="56" customWidth="1"/>
    <col min="15874" max="15874" width="57.5714285714286" style="56" customWidth="1"/>
    <col min="15875" max="15875" width="16.4285714285714" style="56" customWidth="1"/>
    <col min="15876" max="15877" width="17.7142857142857" style="56" customWidth="1"/>
    <col min="15878" max="15879" width="15.7142857142857" style="56" customWidth="1"/>
    <col min="15880" max="15880" width="19.7142857142857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9" style="56" customWidth="1"/>
    <col min="16130" max="16130" width="57.5714285714286" style="56" customWidth="1"/>
    <col min="16131" max="16131" width="16.4285714285714" style="56" customWidth="1"/>
    <col min="16132" max="16133" width="17.7142857142857" style="56" customWidth="1"/>
    <col min="16134" max="16135" width="15.7142857142857" style="56" customWidth="1"/>
    <col min="16136" max="16136" width="19.7142857142857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20.25" hidden="1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80"/>
      <c r="M1" s="80"/>
      <c r="N1" s="80"/>
      <c r="O1" s="80"/>
    </row>
    <row r="2" ht="15.75" hidden="1" customHeight="1" spans="1: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80"/>
      <c r="M2" s="80"/>
      <c r="N2" s="80"/>
      <c r="O2" s="80"/>
    </row>
    <row r="3" ht="18" hidden="1" customHeight="1" spans="1:15">
      <c r="A3" s="60"/>
      <c r="B3" s="60"/>
      <c r="C3" s="60"/>
      <c r="D3" s="60"/>
      <c r="E3" s="60"/>
      <c r="F3" s="60"/>
      <c r="G3" s="60"/>
      <c r="H3" s="60"/>
      <c r="I3" s="81"/>
      <c r="J3" s="81"/>
      <c r="K3" s="81"/>
      <c r="L3" s="80"/>
      <c r="M3" s="80"/>
      <c r="N3" s="80"/>
      <c r="O3" s="80"/>
    </row>
    <row r="4" ht="18" spans="1:15">
      <c r="A4" s="60"/>
      <c r="B4" s="60"/>
      <c r="C4" s="60"/>
      <c r="D4" s="60"/>
      <c r="E4" s="60"/>
      <c r="F4" s="60"/>
      <c r="G4" s="60"/>
      <c r="H4" s="60"/>
      <c r="I4" s="81"/>
      <c r="J4" s="81"/>
      <c r="K4" s="81"/>
      <c r="L4" s="80"/>
      <c r="M4" s="80"/>
      <c r="N4" s="80"/>
      <c r="O4" s="80"/>
    </row>
    <row r="5" ht="15.75" customHeight="1" spans="1:15">
      <c r="A5" s="61" t="s">
        <v>476</v>
      </c>
      <c r="B5" s="61"/>
      <c r="C5" s="61"/>
      <c r="D5" s="61"/>
      <c r="E5" s="61"/>
      <c r="F5" s="61"/>
      <c r="G5" s="61"/>
      <c r="H5" s="61"/>
      <c r="I5" s="82"/>
      <c r="J5" s="82"/>
      <c r="K5" s="82"/>
      <c r="L5" s="80"/>
      <c r="M5" s="80"/>
      <c r="N5" s="80"/>
      <c r="O5" s="80"/>
    </row>
    <row r="6" ht="18" spans="1:15">
      <c r="A6" s="60"/>
      <c r="B6" s="60"/>
      <c r="C6" s="60"/>
      <c r="D6" s="60"/>
      <c r="E6" s="60"/>
      <c r="F6" s="60"/>
      <c r="G6" s="60"/>
      <c r="H6" s="60"/>
      <c r="I6" s="81"/>
      <c r="J6" s="81"/>
      <c r="K6" s="81"/>
      <c r="L6" s="80"/>
      <c r="M6" s="80"/>
      <c r="N6" s="80"/>
      <c r="O6" s="80"/>
    </row>
    <row r="7" s="54" customFormat="1" ht="57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83"/>
      <c r="J7" s="83"/>
      <c r="K7" s="83"/>
      <c r="L7" s="83"/>
      <c r="M7" s="83"/>
      <c r="N7" s="83"/>
      <c r="O7" s="83"/>
    </row>
    <row r="8" s="55" customFormat="1" customHeigh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84"/>
      <c r="J8" s="84"/>
      <c r="K8" s="84"/>
      <c r="L8" s="84"/>
      <c r="M8" s="85"/>
      <c r="N8" s="85"/>
      <c r="O8" s="85"/>
    </row>
    <row r="9" ht="15" customHeight="1" spans="1:15">
      <c r="A9" s="213" t="s">
        <v>39</v>
      </c>
      <c r="B9" s="213" t="s">
        <v>40</v>
      </c>
      <c r="C9" s="214" t="s">
        <v>41</v>
      </c>
      <c r="D9" s="214" t="s">
        <v>41</v>
      </c>
      <c r="E9" s="214" t="s">
        <v>41</v>
      </c>
      <c r="F9" s="214" t="s">
        <v>41</v>
      </c>
      <c r="G9" s="214" t="s">
        <v>40</v>
      </c>
      <c r="H9" s="214" t="s">
        <v>40</v>
      </c>
      <c r="I9" s="100"/>
      <c r="J9" s="100"/>
      <c r="K9" s="100"/>
      <c r="L9" s="100"/>
      <c r="M9" s="101"/>
      <c r="N9" s="101"/>
      <c r="O9" s="101"/>
    </row>
    <row r="10" spans="1:15">
      <c r="A10" s="224" t="s">
        <v>477</v>
      </c>
      <c r="B10" s="224" t="s">
        <v>40</v>
      </c>
      <c r="C10" s="107">
        <f>+C11+C13+C15+C17+C23+C25</f>
        <v>3719743</v>
      </c>
      <c r="D10" s="123">
        <f>+D11+D13+D15+D17+D23+D25</f>
        <v>7207351</v>
      </c>
      <c r="E10" s="123">
        <f>+E11+E13+E15+E17+E23+E25</f>
        <v>7207351</v>
      </c>
      <c r="F10" s="107">
        <f>+F11+F13+F15+F17+F23+F25</f>
        <v>3961521.52</v>
      </c>
      <c r="G10" s="107">
        <f>+F10/C10*100</f>
        <v>106.499871630916</v>
      </c>
      <c r="H10" s="107">
        <f>+F10/E10*100</f>
        <v>54.9650144692551</v>
      </c>
      <c r="I10" s="102"/>
      <c r="J10" s="102"/>
      <c r="K10" s="102"/>
      <c r="L10" s="102"/>
      <c r="M10" s="103"/>
      <c r="N10" s="103"/>
      <c r="O10" s="103"/>
    </row>
    <row r="11" spans="1:15">
      <c r="A11" s="225" t="s">
        <v>478</v>
      </c>
      <c r="B11" s="226" t="s">
        <v>479</v>
      </c>
      <c r="C11" s="110">
        <f>+C12</f>
        <v>2643306</v>
      </c>
      <c r="D11" s="111">
        <f t="shared" ref="D11" si="0">+D12</f>
        <v>5189589</v>
      </c>
      <c r="E11" s="111">
        <f t="shared" ref="E11" si="1">+E12</f>
        <v>5189589</v>
      </c>
      <c r="F11" s="110">
        <f t="shared" ref="F11" si="2">+F12</f>
        <v>3132277.32</v>
      </c>
      <c r="G11" s="110">
        <f t="shared" ref="G11:G46" si="3">+F11/C11*100</f>
        <v>118.498475772385</v>
      </c>
      <c r="H11" s="110">
        <f t="shared" ref="H11:H46" si="4">+F11/E11*100</f>
        <v>60.35694387359</v>
      </c>
      <c r="I11" s="102"/>
      <c r="J11" s="102"/>
      <c r="K11" s="102"/>
      <c r="L11" s="102"/>
      <c r="M11" s="103"/>
      <c r="N11" s="103"/>
      <c r="O11" s="103"/>
    </row>
    <row r="12" spans="1:15">
      <c r="A12" s="227" t="s">
        <v>480</v>
      </c>
      <c r="B12" s="228" t="s">
        <v>479</v>
      </c>
      <c r="C12" s="78">
        <v>2643306</v>
      </c>
      <c r="D12" s="78">
        <v>5189589</v>
      </c>
      <c r="E12" s="78">
        <v>5189589</v>
      </c>
      <c r="F12" s="78">
        <v>3132277.32</v>
      </c>
      <c r="G12" s="78">
        <f t="shared" si="3"/>
        <v>118.498475772385</v>
      </c>
      <c r="H12" s="78">
        <f t="shared" si="4"/>
        <v>60.35694387359</v>
      </c>
      <c r="I12" s="87"/>
      <c r="J12" s="124"/>
      <c r="K12" s="87"/>
      <c r="L12" s="87"/>
      <c r="M12" s="87"/>
      <c r="N12" s="87"/>
      <c r="O12" s="87"/>
    </row>
    <row r="13" spans="1:15">
      <c r="A13" s="225" t="s">
        <v>189</v>
      </c>
      <c r="B13" s="226" t="s">
        <v>481</v>
      </c>
      <c r="C13" s="110">
        <f>+C14</f>
        <v>462292</v>
      </c>
      <c r="D13" s="111">
        <f t="shared" ref="D13" si="5">+D14</f>
        <v>692696</v>
      </c>
      <c r="E13" s="111">
        <f t="shared" ref="E13" si="6">+E14</f>
        <v>692696</v>
      </c>
      <c r="F13" s="110">
        <f t="shared" ref="F13" si="7">+F14</f>
        <v>220937.36</v>
      </c>
      <c r="G13" s="110">
        <f t="shared" si="3"/>
        <v>47.7917333633288</v>
      </c>
      <c r="H13" s="110">
        <f t="shared" si="4"/>
        <v>31.8952845115318</v>
      </c>
      <c r="I13" s="102"/>
      <c r="J13" s="125"/>
      <c r="K13" s="102"/>
      <c r="L13" s="102"/>
      <c r="M13" s="103"/>
      <c r="N13" s="103"/>
      <c r="O13" s="103"/>
    </row>
    <row r="14" spans="1:15">
      <c r="A14" s="227" t="s">
        <v>191</v>
      </c>
      <c r="B14" s="228" t="s">
        <v>481</v>
      </c>
      <c r="C14" s="78">
        <v>462292</v>
      </c>
      <c r="D14" s="79">
        <v>692696</v>
      </c>
      <c r="E14" s="79">
        <v>692696</v>
      </c>
      <c r="F14" s="78">
        <v>220937.36</v>
      </c>
      <c r="G14" s="78">
        <f t="shared" si="3"/>
        <v>47.7917333633288</v>
      </c>
      <c r="H14" s="78">
        <f t="shared" si="4"/>
        <v>31.8952845115318</v>
      </c>
      <c r="I14" s="87"/>
      <c r="J14" s="87"/>
      <c r="K14" s="87"/>
      <c r="L14" s="87"/>
      <c r="M14" s="87"/>
      <c r="N14" s="87"/>
      <c r="O14" s="87"/>
    </row>
    <row r="15" spans="1:15">
      <c r="A15" s="225" t="s">
        <v>383</v>
      </c>
      <c r="B15" s="226" t="s">
        <v>482</v>
      </c>
      <c r="C15" s="110">
        <f>+C16</f>
        <v>109902</v>
      </c>
      <c r="D15" s="111">
        <f t="shared" ref="D15" si="8">+D16</f>
        <v>888347</v>
      </c>
      <c r="E15" s="111">
        <f t="shared" ref="E15" si="9">+E16</f>
        <v>888347</v>
      </c>
      <c r="F15" s="110">
        <f t="shared" ref="F15" si="10">+F16</f>
        <v>110968.95</v>
      </c>
      <c r="G15" s="110">
        <f t="shared" si="3"/>
        <v>100.970819457335</v>
      </c>
      <c r="H15" s="110">
        <f t="shared" si="4"/>
        <v>12.4916220801106</v>
      </c>
      <c r="I15" s="102"/>
      <c r="J15" s="102"/>
      <c r="K15" s="102"/>
      <c r="L15" s="102"/>
      <c r="M15" s="103"/>
      <c r="N15" s="103"/>
      <c r="O15" s="103"/>
    </row>
    <row r="16" spans="1:15">
      <c r="A16" s="227" t="s">
        <v>443</v>
      </c>
      <c r="B16" s="228" t="s">
        <v>483</v>
      </c>
      <c r="C16" s="78">
        <v>109902</v>
      </c>
      <c r="D16" s="79">
        <v>888347</v>
      </c>
      <c r="E16" s="79">
        <v>888347</v>
      </c>
      <c r="F16" s="78">
        <v>110968.95</v>
      </c>
      <c r="G16" s="78">
        <f t="shared" si="3"/>
        <v>100.970819457335</v>
      </c>
      <c r="H16" s="78">
        <f t="shared" si="4"/>
        <v>12.4916220801106</v>
      </c>
      <c r="I16" s="87"/>
      <c r="J16" s="87"/>
      <c r="K16" s="87"/>
      <c r="L16" s="87"/>
      <c r="M16" s="87"/>
      <c r="N16" s="87"/>
      <c r="O16" s="87"/>
    </row>
    <row r="17" spans="1:15">
      <c r="A17" s="225" t="s">
        <v>484</v>
      </c>
      <c r="B17" s="226" t="s">
        <v>485</v>
      </c>
      <c r="C17" s="110">
        <f>SUM(C18:C22)</f>
        <v>425865</v>
      </c>
      <c r="D17" s="111">
        <f>SUM(D18:D22)</f>
        <v>378992</v>
      </c>
      <c r="E17" s="111">
        <f>SUM(E18:E22)</f>
        <v>378992</v>
      </c>
      <c r="F17" s="110">
        <f>SUM(F18:F22)</f>
        <v>444989.35</v>
      </c>
      <c r="G17" s="110">
        <f t="shared" si="3"/>
        <v>104.490707148979</v>
      </c>
      <c r="H17" s="110">
        <f t="shared" si="4"/>
        <v>117.413916388736</v>
      </c>
      <c r="I17" s="102"/>
      <c r="J17" s="102"/>
      <c r="K17" s="102"/>
      <c r="L17" s="102"/>
      <c r="M17" s="103"/>
      <c r="N17" s="103"/>
      <c r="O17" s="103"/>
    </row>
    <row r="18" spans="1:15">
      <c r="A18" s="227" t="s">
        <v>486</v>
      </c>
      <c r="B18" s="228" t="s">
        <v>487</v>
      </c>
      <c r="C18" s="78">
        <v>116943</v>
      </c>
      <c r="D18" s="79">
        <v>84373</v>
      </c>
      <c r="E18" s="79">
        <v>84373</v>
      </c>
      <c r="F18" s="78">
        <v>63727.45</v>
      </c>
      <c r="G18" s="78">
        <f t="shared" si="3"/>
        <v>54.4944545633343</v>
      </c>
      <c r="H18" s="78">
        <f t="shared" si="4"/>
        <v>75.5306199850663</v>
      </c>
      <c r="I18" s="87"/>
      <c r="J18" s="87"/>
      <c r="K18" s="87"/>
      <c r="L18" s="87"/>
      <c r="M18" s="87"/>
      <c r="N18" s="87"/>
      <c r="O18" s="87"/>
    </row>
    <row r="19" spans="1:15">
      <c r="A19" s="227" t="s">
        <v>488</v>
      </c>
      <c r="B19" s="228" t="s">
        <v>489</v>
      </c>
      <c r="C19" s="78">
        <v>216514</v>
      </c>
      <c r="D19" s="79">
        <v>294619</v>
      </c>
      <c r="E19" s="79">
        <v>294619</v>
      </c>
      <c r="F19" s="78">
        <v>381261.9</v>
      </c>
      <c r="G19" s="78">
        <f t="shared" si="3"/>
        <v>176.091107272509</v>
      </c>
      <c r="H19" s="78">
        <f t="shared" si="4"/>
        <v>129.408456345314</v>
      </c>
      <c r="I19" s="87"/>
      <c r="J19" s="87"/>
      <c r="K19" s="87"/>
      <c r="L19" s="87"/>
      <c r="M19" s="87"/>
      <c r="N19" s="87"/>
      <c r="O19" s="87"/>
    </row>
    <row r="20" spans="1:15">
      <c r="A20" s="227" t="s">
        <v>490</v>
      </c>
      <c r="B20" s="228" t="s">
        <v>491</v>
      </c>
      <c r="C20" s="78">
        <f>77259+15149</f>
        <v>92408</v>
      </c>
      <c r="D20" s="79">
        <v>0</v>
      </c>
      <c r="E20" s="79">
        <v>0</v>
      </c>
      <c r="F20" s="78">
        <v>0</v>
      </c>
      <c r="G20" s="78">
        <f t="shared" si="3"/>
        <v>0</v>
      </c>
      <c r="H20" s="78" t="e">
        <f t="shared" si="4"/>
        <v>#DIV/0!</v>
      </c>
      <c r="I20" s="87"/>
      <c r="J20" s="87"/>
      <c r="K20" s="87"/>
      <c r="L20" s="87"/>
      <c r="M20" s="87"/>
      <c r="N20" s="87"/>
      <c r="O20" s="87"/>
    </row>
    <row r="21" spans="1:15">
      <c r="A21" s="227" t="s">
        <v>492</v>
      </c>
      <c r="B21" s="228" t="s">
        <v>493</v>
      </c>
      <c r="C21" s="78">
        <v>0</v>
      </c>
      <c r="D21" s="79">
        <v>0</v>
      </c>
      <c r="E21" s="79">
        <v>0</v>
      </c>
      <c r="F21" s="78">
        <v>0</v>
      </c>
      <c r="G21" s="78" t="e">
        <f t="shared" si="3"/>
        <v>#DIV/0!</v>
      </c>
      <c r="H21" s="78" t="e">
        <f t="shared" si="4"/>
        <v>#DIV/0!</v>
      </c>
      <c r="I21" s="87"/>
      <c r="J21" s="87"/>
      <c r="K21" s="87"/>
      <c r="L21" s="87"/>
      <c r="M21" s="87"/>
      <c r="N21" s="87"/>
      <c r="O21" s="87"/>
    </row>
    <row r="22" spans="1:15">
      <c r="A22" s="227" t="s">
        <v>494</v>
      </c>
      <c r="B22" s="228" t="s">
        <v>495</v>
      </c>
      <c r="C22" s="78">
        <v>0</v>
      </c>
      <c r="D22" s="79">
        <v>0</v>
      </c>
      <c r="E22" s="79">
        <v>0</v>
      </c>
      <c r="F22" s="78">
        <v>0</v>
      </c>
      <c r="G22" s="78" t="e">
        <f t="shared" si="3"/>
        <v>#DIV/0!</v>
      </c>
      <c r="H22" s="78" t="e">
        <f t="shared" si="4"/>
        <v>#DIV/0!</v>
      </c>
      <c r="I22" s="87"/>
      <c r="J22" s="87"/>
      <c r="K22" s="87"/>
      <c r="L22" s="87"/>
      <c r="M22" s="87"/>
      <c r="N22" s="87"/>
      <c r="O22" s="87"/>
    </row>
    <row r="23" spans="1:15">
      <c r="A23" s="225" t="s">
        <v>43</v>
      </c>
      <c r="B23" s="226" t="s">
        <v>496</v>
      </c>
      <c r="C23" s="110">
        <f>+C24</f>
        <v>70875</v>
      </c>
      <c r="D23" s="111">
        <f t="shared" ref="D23" si="11">+D24</f>
        <v>57377</v>
      </c>
      <c r="E23" s="111">
        <f t="shared" ref="E23" si="12">+E24</f>
        <v>57377</v>
      </c>
      <c r="F23" s="110">
        <f t="shared" ref="F23" si="13">+F24</f>
        <v>52018.04</v>
      </c>
      <c r="G23" s="110">
        <f t="shared" si="3"/>
        <v>73.3940599647266</v>
      </c>
      <c r="H23" s="110">
        <f t="shared" si="4"/>
        <v>90.6600902800774</v>
      </c>
      <c r="I23" s="102"/>
      <c r="J23" s="102"/>
      <c r="K23" s="102"/>
      <c r="L23" s="102"/>
      <c r="M23" s="103"/>
      <c r="N23" s="103"/>
      <c r="O23" s="103"/>
    </row>
    <row r="24" spans="1:15">
      <c r="A24" s="227" t="s">
        <v>497</v>
      </c>
      <c r="B24" s="228" t="s">
        <v>496</v>
      </c>
      <c r="C24" s="78">
        <v>70875</v>
      </c>
      <c r="D24" s="79">
        <v>57377</v>
      </c>
      <c r="E24" s="79">
        <v>57377</v>
      </c>
      <c r="F24" s="78">
        <v>52018.04</v>
      </c>
      <c r="G24" s="78">
        <f t="shared" si="3"/>
        <v>73.3940599647266</v>
      </c>
      <c r="H24" s="78">
        <f t="shared" si="4"/>
        <v>90.6600902800774</v>
      </c>
      <c r="I24" s="87"/>
      <c r="J24" s="87"/>
      <c r="K24" s="87"/>
      <c r="L24" s="87"/>
      <c r="M24" s="87"/>
      <c r="N24" s="87"/>
      <c r="O24" s="87"/>
    </row>
    <row r="25" spans="1:15">
      <c r="A25" s="225" t="s">
        <v>150</v>
      </c>
      <c r="B25" s="226" t="s">
        <v>498</v>
      </c>
      <c r="C25" s="110">
        <f>+C26</f>
        <v>7503</v>
      </c>
      <c r="D25" s="111">
        <f t="shared" ref="D25" si="14">+D26</f>
        <v>350</v>
      </c>
      <c r="E25" s="111">
        <f t="shared" ref="E25" si="15">+E26</f>
        <v>350</v>
      </c>
      <c r="F25" s="110">
        <f t="shared" ref="F25" si="16">+F26</f>
        <v>330.5</v>
      </c>
      <c r="G25" s="110">
        <f t="shared" si="3"/>
        <v>4.40490470478475</v>
      </c>
      <c r="H25" s="110">
        <f t="shared" si="4"/>
        <v>94.4285714285714</v>
      </c>
      <c r="I25" s="102"/>
      <c r="J25" s="102"/>
      <c r="K25" s="102"/>
      <c r="L25" s="102"/>
      <c r="M25" s="103"/>
      <c r="N25" s="103"/>
      <c r="O25" s="103"/>
    </row>
    <row r="26" spans="1:15">
      <c r="A26" s="227" t="s">
        <v>152</v>
      </c>
      <c r="B26" s="228" t="s">
        <v>498</v>
      </c>
      <c r="C26" s="78">
        <v>7503</v>
      </c>
      <c r="D26" s="79">
        <v>350</v>
      </c>
      <c r="E26" s="79">
        <v>350</v>
      </c>
      <c r="F26" s="78">
        <v>330.5</v>
      </c>
      <c r="G26" s="78">
        <f t="shared" si="3"/>
        <v>4.40490470478475</v>
      </c>
      <c r="H26" s="78">
        <f t="shared" si="4"/>
        <v>94.4285714285714</v>
      </c>
      <c r="I26" s="87"/>
      <c r="J26" s="87"/>
      <c r="K26" s="87"/>
      <c r="L26" s="87"/>
      <c r="M26" s="87"/>
      <c r="N26" s="87"/>
      <c r="O26" s="87"/>
    </row>
    <row r="27" spans="1:15">
      <c r="A27" s="224" t="s">
        <v>499</v>
      </c>
      <c r="B27" s="224" t="s">
        <v>40</v>
      </c>
      <c r="C27" s="107">
        <f>+C28+C31+C33+C35+C41+C43+C45</f>
        <v>3848943</v>
      </c>
      <c r="D27" s="123">
        <f>+D28+D31+D33+D35+D41+D43+D45</f>
        <v>7349870</v>
      </c>
      <c r="E27" s="123">
        <f>+E28+E31+E33+E35+E41+E43+E45</f>
        <v>7349870</v>
      </c>
      <c r="F27" s="107">
        <f>+F28+F31+F33+F35+F41+F43+F45</f>
        <v>4172754.9</v>
      </c>
      <c r="G27" s="107">
        <f t="shared" si="3"/>
        <v>108.413008454529</v>
      </c>
      <c r="H27" s="107">
        <f t="shared" si="4"/>
        <v>56.7731796616811</v>
      </c>
      <c r="I27" s="121"/>
      <c r="J27" s="121"/>
      <c r="K27" s="121"/>
      <c r="L27" s="121"/>
      <c r="M27" s="121"/>
      <c r="N27" s="121"/>
      <c r="O27" s="121"/>
    </row>
    <row r="28" spans="1:15">
      <c r="A28" s="225" t="s">
        <v>478</v>
      </c>
      <c r="B28" s="226" t="s">
        <v>479</v>
      </c>
      <c r="C28" s="110">
        <f>+C29+C30</f>
        <v>2240076</v>
      </c>
      <c r="D28" s="111">
        <f>+D29+D30</f>
        <v>5189589</v>
      </c>
      <c r="E28" s="111">
        <f>+E29+E30</f>
        <v>5189589</v>
      </c>
      <c r="F28" s="110">
        <f>+F29+F30</f>
        <v>2687883.74</v>
      </c>
      <c r="G28" s="110">
        <f t="shared" si="3"/>
        <v>119.99073870708</v>
      </c>
      <c r="H28" s="110">
        <f t="shared" si="4"/>
        <v>51.7937690248688</v>
      </c>
      <c r="I28" s="102"/>
      <c r="J28" s="102"/>
      <c r="K28" s="102"/>
      <c r="L28" s="102"/>
      <c r="M28" s="103"/>
      <c r="N28" s="103"/>
      <c r="O28" s="103"/>
    </row>
    <row r="29" spans="1:15">
      <c r="A29" s="227" t="s">
        <v>480</v>
      </c>
      <c r="B29" s="228" t="s">
        <v>479</v>
      </c>
      <c r="C29" s="78">
        <f>2220947+13917</f>
        <v>2234864</v>
      </c>
      <c r="D29" s="79">
        <v>5189589</v>
      </c>
      <c r="E29" s="79">
        <v>5189589</v>
      </c>
      <c r="F29" s="78">
        <f>2639017.07-15847.87+64254.87+459.67</f>
        <v>2687883.74</v>
      </c>
      <c r="G29" s="78">
        <f t="shared" si="3"/>
        <v>120.270573063954</v>
      </c>
      <c r="H29" s="78">
        <f t="shared" si="4"/>
        <v>51.7937690248688</v>
      </c>
      <c r="I29" s="87"/>
      <c r="J29" s="87"/>
      <c r="K29" s="87"/>
      <c r="L29" s="87"/>
      <c r="M29" s="87"/>
      <c r="N29" s="87"/>
      <c r="O29" s="87"/>
    </row>
    <row r="30" spans="1:15">
      <c r="A30" s="227" t="s">
        <v>500</v>
      </c>
      <c r="B30" s="228" t="s">
        <v>501</v>
      </c>
      <c r="C30" s="78">
        <f>4696+516</f>
        <v>5212</v>
      </c>
      <c r="D30" s="79">
        <v>0</v>
      </c>
      <c r="E30" s="79">
        <v>0</v>
      </c>
      <c r="F30" s="78">
        <v>0</v>
      </c>
      <c r="G30" s="78">
        <f t="shared" si="3"/>
        <v>0</v>
      </c>
      <c r="H30" s="78" t="e">
        <f t="shared" si="4"/>
        <v>#DIV/0!</v>
      </c>
      <c r="I30" s="87"/>
      <c r="J30" s="87"/>
      <c r="K30" s="87"/>
      <c r="L30" s="87"/>
      <c r="M30" s="87"/>
      <c r="N30" s="87"/>
      <c r="O30" s="87"/>
    </row>
    <row r="31" spans="1:15">
      <c r="A31" s="225" t="s">
        <v>189</v>
      </c>
      <c r="B31" s="226" t="s">
        <v>481</v>
      </c>
      <c r="C31" s="110">
        <f>+C32</f>
        <v>571638</v>
      </c>
      <c r="D31" s="111">
        <f t="shared" ref="D31" si="17">+D32</f>
        <v>692696</v>
      </c>
      <c r="E31" s="111">
        <f t="shared" ref="E31" si="18">+E32</f>
        <v>692696</v>
      </c>
      <c r="F31" s="110">
        <f t="shared" ref="F31" si="19">+F32</f>
        <v>413885.16</v>
      </c>
      <c r="G31" s="110">
        <f t="shared" si="3"/>
        <v>72.4033671659337</v>
      </c>
      <c r="H31" s="110">
        <f t="shared" si="4"/>
        <v>59.7498989455692</v>
      </c>
      <c r="I31" s="102"/>
      <c r="J31" s="102"/>
      <c r="K31" s="102"/>
      <c r="L31" s="102"/>
      <c r="M31" s="103"/>
      <c r="N31" s="103"/>
      <c r="O31" s="103"/>
    </row>
    <row r="32" spans="1:15">
      <c r="A32" s="227" t="s">
        <v>191</v>
      </c>
      <c r="B32" s="228" t="s">
        <v>481</v>
      </c>
      <c r="C32" s="78">
        <f>516006+55632</f>
        <v>571638</v>
      </c>
      <c r="D32" s="79">
        <v>692696</v>
      </c>
      <c r="E32" s="79">
        <v>692696</v>
      </c>
      <c r="F32" s="78">
        <v>413885.16</v>
      </c>
      <c r="G32" s="78">
        <f t="shared" si="3"/>
        <v>72.4033671659337</v>
      </c>
      <c r="H32" s="78">
        <f t="shared" si="4"/>
        <v>59.7498989455692</v>
      </c>
      <c r="I32" s="87"/>
      <c r="J32" s="87"/>
      <c r="K32" s="87"/>
      <c r="L32" s="87"/>
      <c r="M32" s="87"/>
      <c r="N32" s="87"/>
      <c r="O32" s="87"/>
    </row>
    <row r="33" spans="1:15">
      <c r="A33" s="225" t="s">
        <v>383</v>
      </c>
      <c r="B33" s="226" t="s">
        <v>482</v>
      </c>
      <c r="C33" s="110">
        <f>+C34</f>
        <v>484506</v>
      </c>
      <c r="D33" s="111">
        <f t="shared" ref="D33" si="20">+D34</f>
        <v>888347</v>
      </c>
      <c r="E33" s="111">
        <f t="shared" ref="E33" si="21">+E34</f>
        <v>888347</v>
      </c>
      <c r="F33" s="110">
        <f t="shared" ref="F33" si="22">+F34</f>
        <v>512396.26</v>
      </c>
      <c r="G33" s="110">
        <f t="shared" si="3"/>
        <v>105.756432324883</v>
      </c>
      <c r="H33" s="110">
        <f t="shared" si="4"/>
        <v>57.679742262877</v>
      </c>
      <c r="I33" s="102"/>
      <c r="J33" s="102"/>
      <c r="K33" s="102"/>
      <c r="L33" s="102"/>
      <c r="M33" s="103"/>
      <c r="N33" s="103"/>
      <c r="O33" s="103"/>
    </row>
    <row r="34" spans="1:15">
      <c r="A34" s="227" t="s">
        <v>443</v>
      </c>
      <c r="B34" s="228" t="s">
        <v>483</v>
      </c>
      <c r="C34" s="78">
        <f>482323+2183</f>
        <v>484506</v>
      </c>
      <c r="D34" s="79">
        <v>888347</v>
      </c>
      <c r="E34" s="79">
        <v>888347</v>
      </c>
      <c r="F34" s="78">
        <v>512396.26</v>
      </c>
      <c r="G34" s="78">
        <f t="shared" si="3"/>
        <v>105.756432324883</v>
      </c>
      <c r="H34" s="78">
        <f t="shared" si="4"/>
        <v>57.679742262877</v>
      </c>
      <c r="I34" s="87"/>
      <c r="J34" s="87"/>
      <c r="K34" s="87"/>
      <c r="L34" s="87"/>
      <c r="M34" s="87"/>
      <c r="N34" s="87"/>
      <c r="O34" s="87"/>
    </row>
    <row r="35" spans="1:15">
      <c r="A35" s="225" t="s">
        <v>484</v>
      </c>
      <c r="B35" s="226" t="s">
        <v>485</v>
      </c>
      <c r="C35" s="110">
        <f>SUM(C36:C40)</f>
        <v>494522</v>
      </c>
      <c r="D35" s="111">
        <f>SUM(D36:D40)</f>
        <v>521511</v>
      </c>
      <c r="E35" s="111">
        <f>SUM(E36:E40)</f>
        <v>521511</v>
      </c>
      <c r="F35" s="110">
        <f>SUM(F36:F40)</f>
        <v>476995.42</v>
      </c>
      <c r="G35" s="110">
        <f t="shared" si="3"/>
        <v>96.4558543401507</v>
      </c>
      <c r="H35" s="110">
        <f t="shared" si="4"/>
        <v>91.4641148508852</v>
      </c>
      <c r="I35" s="102"/>
      <c r="J35" s="102"/>
      <c r="K35" s="102"/>
      <c r="L35" s="102"/>
      <c r="M35" s="103"/>
      <c r="N35" s="103"/>
      <c r="O35" s="103"/>
    </row>
    <row r="36" spans="1:15">
      <c r="A36" s="227" t="s">
        <v>486</v>
      </c>
      <c r="B36" s="228" t="s">
        <v>487</v>
      </c>
      <c r="C36" s="78">
        <v>116854</v>
      </c>
      <c r="D36" s="79">
        <v>84373</v>
      </c>
      <c r="E36" s="79">
        <v>84373</v>
      </c>
      <c r="F36" s="78">
        <v>28969.32</v>
      </c>
      <c r="G36" s="78">
        <f t="shared" si="3"/>
        <v>24.7910383897855</v>
      </c>
      <c r="H36" s="78">
        <f t="shared" si="4"/>
        <v>34.3348227513541</v>
      </c>
      <c r="I36" s="87"/>
      <c r="J36" s="87"/>
      <c r="K36" s="87"/>
      <c r="L36" s="87"/>
      <c r="M36" s="87"/>
      <c r="N36" s="87"/>
      <c r="O36" s="87"/>
    </row>
    <row r="37" spans="1:15">
      <c r="A37" s="227" t="s">
        <v>488</v>
      </c>
      <c r="B37" s="228" t="s">
        <v>489</v>
      </c>
      <c r="C37" s="78">
        <f>334293+13846</f>
        <v>348139</v>
      </c>
      <c r="D37" s="79">
        <v>437138</v>
      </c>
      <c r="E37" s="79">
        <v>437138</v>
      </c>
      <c r="F37" s="78">
        <v>448026.1</v>
      </c>
      <c r="G37" s="78">
        <f t="shared" si="3"/>
        <v>128.691729452891</v>
      </c>
      <c r="H37" s="78">
        <f t="shared" si="4"/>
        <v>102.490769505282</v>
      </c>
      <c r="I37" s="87"/>
      <c r="J37" s="87"/>
      <c r="K37" s="87"/>
      <c r="L37" s="87"/>
      <c r="M37" s="87"/>
      <c r="N37" s="87"/>
      <c r="O37" s="87"/>
    </row>
    <row r="38" spans="1:15">
      <c r="A38" s="227" t="s">
        <v>490</v>
      </c>
      <c r="B38" s="228" t="s">
        <v>491</v>
      </c>
      <c r="C38" s="78">
        <f>26607+2922</f>
        <v>29529</v>
      </c>
      <c r="D38" s="79">
        <v>0</v>
      </c>
      <c r="E38" s="79">
        <v>0</v>
      </c>
      <c r="F38" s="78">
        <v>0</v>
      </c>
      <c r="G38" s="78">
        <f t="shared" si="3"/>
        <v>0</v>
      </c>
      <c r="H38" s="78" t="e">
        <f t="shared" si="4"/>
        <v>#DIV/0!</v>
      </c>
      <c r="I38" s="87"/>
      <c r="J38" s="87"/>
      <c r="K38" s="87"/>
      <c r="L38" s="87"/>
      <c r="M38" s="87"/>
      <c r="N38" s="87"/>
      <c r="O38" s="87"/>
    </row>
    <row r="39" spans="1:15">
      <c r="A39" s="227" t="s">
        <v>492</v>
      </c>
      <c r="B39" s="228" t="s">
        <v>493</v>
      </c>
      <c r="C39" s="78">
        <v>0</v>
      </c>
      <c r="D39" s="79">
        <v>0</v>
      </c>
      <c r="E39" s="79">
        <v>0</v>
      </c>
      <c r="F39" s="78">
        <v>0</v>
      </c>
      <c r="G39" s="78" t="e">
        <f t="shared" si="3"/>
        <v>#DIV/0!</v>
      </c>
      <c r="H39" s="78" t="e">
        <f t="shared" si="4"/>
        <v>#DIV/0!</v>
      </c>
      <c r="I39" s="87"/>
      <c r="J39" s="87"/>
      <c r="K39" s="87"/>
      <c r="L39" s="87"/>
      <c r="M39" s="87"/>
      <c r="N39" s="87"/>
      <c r="O39" s="87"/>
    </row>
    <row r="40" spans="1:15">
      <c r="A40" s="227" t="s">
        <v>494</v>
      </c>
      <c r="B40" s="228" t="s">
        <v>495</v>
      </c>
      <c r="C40" s="78">
        <v>0</v>
      </c>
      <c r="D40" s="79">
        <v>0</v>
      </c>
      <c r="E40" s="79">
        <v>0</v>
      </c>
      <c r="F40" s="78">
        <v>0</v>
      </c>
      <c r="G40" s="78" t="e">
        <f t="shared" si="3"/>
        <v>#DIV/0!</v>
      </c>
      <c r="H40" s="78" t="e">
        <f t="shared" si="4"/>
        <v>#DIV/0!</v>
      </c>
      <c r="I40" s="87"/>
      <c r="J40" s="87"/>
      <c r="K40" s="87"/>
      <c r="L40" s="87"/>
      <c r="M40" s="87"/>
      <c r="N40" s="87"/>
      <c r="O40" s="87"/>
    </row>
    <row r="41" spans="1:15">
      <c r="A41" s="225" t="s">
        <v>43</v>
      </c>
      <c r="B41" s="226" t="s">
        <v>496</v>
      </c>
      <c r="C41" s="110">
        <f>+C42</f>
        <v>49403</v>
      </c>
      <c r="D41" s="111">
        <f t="shared" ref="D41" si="23">+D42</f>
        <v>57377</v>
      </c>
      <c r="E41" s="111">
        <f t="shared" ref="E41" si="24">+E42</f>
        <v>57377</v>
      </c>
      <c r="F41" s="110">
        <f t="shared" ref="F41" si="25">+F42</f>
        <v>81157.36</v>
      </c>
      <c r="G41" s="110">
        <f t="shared" si="3"/>
        <v>164.276177560067</v>
      </c>
      <c r="H41" s="110">
        <f t="shared" si="4"/>
        <v>141.445805810691</v>
      </c>
      <c r="I41" s="102"/>
      <c r="J41" s="102"/>
      <c r="K41" s="102"/>
      <c r="L41" s="102"/>
      <c r="M41" s="103"/>
      <c r="N41" s="103"/>
      <c r="O41" s="103"/>
    </row>
    <row r="42" spans="1:15">
      <c r="A42" s="227" t="s">
        <v>497</v>
      </c>
      <c r="B42" s="228" t="s">
        <v>496</v>
      </c>
      <c r="C42" s="78">
        <f>46020+3383</f>
        <v>49403</v>
      </c>
      <c r="D42" s="79">
        <v>57377</v>
      </c>
      <c r="E42" s="79">
        <v>57377</v>
      </c>
      <c r="F42" s="78">
        <v>81157.36</v>
      </c>
      <c r="G42" s="78">
        <f t="shared" si="3"/>
        <v>164.276177560067</v>
      </c>
      <c r="H42" s="78">
        <f t="shared" si="4"/>
        <v>141.445805810691</v>
      </c>
      <c r="I42" s="87"/>
      <c r="J42" s="87"/>
      <c r="K42" s="87"/>
      <c r="L42" s="87"/>
      <c r="M42" s="87"/>
      <c r="N42" s="87"/>
      <c r="O42" s="87"/>
    </row>
    <row r="43" spans="1:15">
      <c r="A43" s="225" t="s">
        <v>150</v>
      </c>
      <c r="B43" s="226" t="s">
        <v>498</v>
      </c>
      <c r="C43" s="110">
        <f>+C44</f>
        <v>8798</v>
      </c>
      <c r="D43" s="111">
        <f t="shared" ref="D43" si="26">+D44</f>
        <v>350</v>
      </c>
      <c r="E43" s="111">
        <f t="shared" ref="E43" si="27">+E44</f>
        <v>350</v>
      </c>
      <c r="F43" s="110">
        <f t="shared" ref="F43" si="28">+F44</f>
        <v>436.96</v>
      </c>
      <c r="G43" s="110">
        <f t="shared" si="3"/>
        <v>4.96658331438963</v>
      </c>
      <c r="H43" s="110">
        <f t="shared" si="4"/>
        <v>124.845714285714</v>
      </c>
      <c r="I43" s="102"/>
      <c r="J43" s="102"/>
      <c r="K43" s="102"/>
      <c r="L43" s="102"/>
      <c r="M43" s="103"/>
      <c r="N43" s="103"/>
      <c r="O43" s="103"/>
    </row>
    <row r="44" spans="1:15">
      <c r="A44" s="227" t="s">
        <v>152</v>
      </c>
      <c r="B44" s="228" t="s">
        <v>498</v>
      </c>
      <c r="C44" s="78">
        <v>8798</v>
      </c>
      <c r="D44" s="79">
        <v>350</v>
      </c>
      <c r="E44" s="79">
        <v>350</v>
      </c>
      <c r="F44" s="78">
        <v>436.96</v>
      </c>
      <c r="G44" s="78">
        <f t="shared" si="3"/>
        <v>4.96658331438963</v>
      </c>
      <c r="H44" s="78">
        <f t="shared" si="4"/>
        <v>124.845714285714</v>
      </c>
      <c r="I44" s="87"/>
      <c r="J44" s="87"/>
      <c r="K44" s="87"/>
      <c r="L44" s="87"/>
      <c r="M44" s="87"/>
      <c r="N44" s="87"/>
      <c r="O44" s="87"/>
    </row>
    <row r="45" spans="1:15">
      <c r="A45" s="225" t="s">
        <v>502</v>
      </c>
      <c r="B45" s="226" t="s">
        <v>503</v>
      </c>
      <c r="C45" s="110">
        <f>+C46</f>
        <v>0</v>
      </c>
      <c r="D45" s="111">
        <f t="shared" ref="D45:F45" si="29">+D46</f>
        <v>0</v>
      </c>
      <c r="E45" s="111">
        <f t="shared" si="29"/>
        <v>0</v>
      </c>
      <c r="F45" s="110">
        <f t="shared" si="29"/>
        <v>0</v>
      </c>
      <c r="G45" s="110" t="e">
        <f t="shared" si="3"/>
        <v>#DIV/0!</v>
      </c>
      <c r="H45" s="110" t="e">
        <f t="shared" si="4"/>
        <v>#DIV/0!</v>
      </c>
      <c r="I45" s="102"/>
      <c r="J45" s="102"/>
      <c r="K45" s="102"/>
      <c r="L45" s="102"/>
      <c r="M45" s="103"/>
      <c r="N45" s="103"/>
      <c r="O45" s="103"/>
    </row>
    <row r="46" spans="1:15">
      <c r="A46" s="227" t="s">
        <v>504</v>
      </c>
      <c r="B46" s="228" t="s">
        <v>503</v>
      </c>
      <c r="C46" s="78"/>
      <c r="D46" s="78"/>
      <c r="E46" s="79"/>
      <c r="F46" s="78"/>
      <c r="G46" s="78" t="e">
        <f t="shared" si="3"/>
        <v>#DIV/0!</v>
      </c>
      <c r="H46" s="78" t="e">
        <f t="shared" si="4"/>
        <v>#DIV/0!</v>
      </c>
      <c r="I46" s="87"/>
      <c r="J46" s="87"/>
      <c r="K46" s="87"/>
      <c r="L46" s="87"/>
      <c r="M46" s="87"/>
      <c r="N46" s="87"/>
      <c r="O46" s="87"/>
    </row>
  </sheetData>
  <mergeCells count="4">
    <mergeCell ref="A2:K2"/>
    <mergeCell ref="A5:H5"/>
    <mergeCell ref="A7:B7"/>
    <mergeCell ref="A8:B8"/>
  </mergeCells>
  <pageMargins left="0.708661417322835" right="0.708661417322835" top="0.748031496062992" bottom="0.748031496062992" header="0.31496062992126" footer="0.31496062992126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zoomScale="90" zoomScaleNormal="90" topLeftCell="A4" workbookViewId="0">
      <selection activeCell="F15" sqref="F15"/>
    </sheetView>
  </sheetViews>
  <sheetFormatPr defaultColWidth="9" defaultRowHeight="12.75"/>
  <cols>
    <col min="1" max="1" width="12" style="56" customWidth="1"/>
    <col min="2" max="2" width="33.4285714285714" style="57" customWidth="1"/>
    <col min="3" max="3" width="16.4285714285714" style="58" customWidth="1"/>
    <col min="4" max="5" width="17.7142857142857" style="59" customWidth="1"/>
    <col min="6" max="6" width="17" style="58" customWidth="1"/>
    <col min="7" max="8" width="12.5714285714286" style="58" customWidth="1"/>
    <col min="9" max="9" width="15.4285714285714" style="56" customWidth="1"/>
    <col min="10" max="10" width="9.42857142857143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9" style="56" customWidth="1"/>
    <col min="258" max="258" width="57.5714285714286" style="56" customWidth="1"/>
    <col min="259" max="259" width="16.4285714285714" style="56" customWidth="1"/>
    <col min="260" max="261" width="17.7142857142857" style="56" customWidth="1"/>
    <col min="262" max="263" width="15.7142857142857" style="56" customWidth="1"/>
    <col min="264" max="264" width="19.7142857142857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9" style="56" customWidth="1"/>
    <col min="514" max="514" width="57.5714285714286" style="56" customWidth="1"/>
    <col min="515" max="515" width="16.4285714285714" style="56" customWidth="1"/>
    <col min="516" max="517" width="17.7142857142857" style="56" customWidth="1"/>
    <col min="518" max="519" width="15.7142857142857" style="56" customWidth="1"/>
    <col min="520" max="520" width="19.7142857142857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9" style="56" customWidth="1"/>
    <col min="770" max="770" width="57.5714285714286" style="56" customWidth="1"/>
    <col min="771" max="771" width="16.4285714285714" style="56" customWidth="1"/>
    <col min="772" max="773" width="17.7142857142857" style="56" customWidth="1"/>
    <col min="774" max="775" width="15.7142857142857" style="56" customWidth="1"/>
    <col min="776" max="776" width="19.7142857142857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9" style="56" customWidth="1"/>
    <col min="1026" max="1026" width="57.5714285714286" style="56" customWidth="1"/>
    <col min="1027" max="1027" width="16.4285714285714" style="56" customWidth="1"/>
    <col min="1028" max="1029" width="17.7142857142857" style="56" customWidth="1"/>
    <col min="1030" max="1031" width="15.7142857142857" style="56" customWidth="1"/>
    <col min="1032" max="1032" width="19.7142857142857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9" style="56" customWidth="1"/>
    <col min="1282" max="1282" width="57.5714285714286" style="56" customWidth="1"/>
    <col min="1283" max="1283" width="16.4285714285714" style="56" customWidth="1"/>
    <col min="1284" max="1285" width="17.7142857142857" style="56" customWidth="1"/>
    <col min="1286" max="1287" width="15.7142857142857" style="56" customWidth="1"/>
    <col min="1288" max="1288" width="19.7142857142857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9" style="56" customWidth="1"/>
    <col min="1538" max="1538" width="57.5714285714286" style="56" customWidth="1"/>
    <col min="1539" max="1539" width="16.4285714285714" style="56" customWidth="1"/>
    <col min="1540" max="1541" width="17.7142857142857" style="56" customWidth="1"/>
    <col min="1542" max="1543" width="15.7142857142857" style="56" customWidth="1"/>
    <col min="1544" max="1544" width="19.7142857142857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9" style="56" customWidth="1"/>
    <col min="1794" max="1794" width="57.5714285714286" style="56" customWidth="1"/>
    <col min="1795" max="1795" width="16.4285714285714" style="56" customWidth="1"/>
    <col min="1796" max="1797" width="17.7142857142857" style="56" customWidth="1"/>
    <col min="1798" max="1799" width="15.7142857142857" style="56" customWidth="1"/>
    <col min="1800" max="1800" width="19.7142857142857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9" style="56" customWidth="1"/>
    <col min="2050" max="2050" width="57.5714285714286" style="56" customWidth="1"/>
    <col min="2051" max="2051" width="16.4285714285714" style="56" customWidth="1"/>
    <col min="2052" max="2053" width="17.7142857142857" style="56" customWidth="1"/>
    <col min="2054" max="2055" width="15.7142857142857" style="56" customWidth="1"/>
    <col min="2056" max="2056" width="19.7142857142857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9" style="56" customWidth="1"/>
    <col min="2306" max="2306" width="57.5714285714286" style="56" customWidth="1"/>
    <col min="2307" max="2307" width="16.4285714285714" style="56" customWidth="1"/>
    <col min="2308" max="2309" width="17.7142857142857" style="56" customWidth="1"/>
    <col min="2310" max="2311" width="15.7142857142857" style="56" customWidth="1"/>
    <col min="2312" max="2312" width="19.7142857142857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9" style="56" customWidth="1"/>
    <col min="2562" max="2562" width="57.5714285714286" style="56" customWidth="1"/>
    <col min="2563" max="2563" width="16.4285714285714" style="56" customWidth="1"/>
    <col min="2564" max="2565" width="17.7142857142857" style="56" customWidth="1"/>
    <col min="2566" max="2567" width="15.7142857142857" style="56" customWidth="1"/>
    <col min="2568" max="2568" width="19.7142857142857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9" style="56" customWidth="1"/>
    <col min="2818" max="2818" width="57.5714285714286" style="56" customWidth="1"/>
    <col min="2819" max="2819" width="16.4285714285714" style="56" customWidth="1"/>
    <col min="2820" max="2821" width="17.7142857142857" style="56" customWidth="1"/>
    <col min="2822" max="2823" width="15.7142857142857" style="56" customWidth="1"/>
    <col min="2824" max="2824" width="19.7142857142857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9" style="56" customWidth="1"/>
    <col min="3074" max="3074" width="57.5714285714286" style="56" customWidth="1"/>
    <col min="3075" max="3075" width="16.4285714285714" style="56" customWidth="1"/>
    <col min="3076" max="3077" width="17.7142857142857" style="56" customWidth="1"/>
    <col min="3078" max="3079" width="15.7142857142857" style="56" customWidth="1"/>
    <col min="3080" max="3080" width="19.7142857142857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9" style="56" customWidth="1"/>
    <col min="3330" max="3330" width="57.5714285714286" style="56" customWidth="1"/>
    <col min="3331" max="3331" width="16.4285714285714" style="56" customWidth="1"/>
    <col min="3332" max="3333" width="17.7142857142857" style="56" customWidth="1"/>
    <col min="3334" max="3335" width="15.7142857142857" style="56" customWidth="1"/>
    <col min="3336" max="3336" width="19.7142857142857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9" style="56" customWidth="1"/>
    <col min="3586" max="3586" width="57.5714285714286" style="56" customWidth="1"/>
    <col min="3587" max="3587" width="16.4285714285714" style="56" customWidth="1"/>
    <col min="3588" max="3589" width="17.7142857142857" style="56" customWidth="1"/>
    <col min="3590" max="3591" width="15.7142857142857" style="56" customWidth="1"/>
    <col min="3592" max="3592" width="19.7142857142857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9" style="56" customWidth="1"/>
    <col min="3842" max="3842" width="57.5714285714286" style="56" customWidth="1"/>
    <col min="3843" max="3843" width="16.4285714285714" style="56" customWidth="1"/>
    <col min="3844" max="3845" width="17.7142857142857" style="56" customWidth="1"/>
    <col min="3846" max="3847" width="15.7142857142857" style="56" customWidth="1"/>
    <col min="3848" max="3848" width="19.7142857142857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9" style="56" customWidth="1"/>
    <col min="4098" max="4098" width="57.5714285714286" style="56" customWidth="1"/>
    <col min="4099" max="4099" width="16.4285714285714" style="56" customWidth="1"/>
    <col min="4100" max="4101" width="17.7142857142857" style="56" customWidth="1"/>
    <col min="4102" max="4103" width="15.7142857142857" style="56" customWidth="1"/>
    <col min="4104" max="4104" width="19.7142857142857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9" style="56" customWidth="1"/>
    <col min="4354" max="4354" width="57.5714285714286" style="56" customWidth="1"/>
    <col min="4355" max="4355" width="16.4285714285714" style="56" customWidth="1"/>
    <col min="4356" max="4357" width="17.7142857142857" style="56" customWidth="1"/>
    <col min="4358" max="4359" width="15.7142857142857" style="56" customWidth="1"/>
    <col min="4360" max="4360" width="19.7142857142857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9" style="56" customWidth="1"/>
    <col min="4610" max="4610" width="57.5714285714286" style="56" customWidth="1"/>
    <col min="4611" max="4611" width="16.4285714285714" style="56" customWidth="1"/>
    <col min="4612" max="4613" width="17.7142857142857" style="56" customWidth="1"/>
    <col min="4614" max="4615" width="15.7142857142857" style="56" customWidth="1"/>
    <col min="4616" max="4616" width="19.7142857142857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9" style="56" customWidth="1"/>
    <col min="4866" max="4866" width="57.5714285714286" style="56" customWidth="1"/>
    <col min="4867" max="4867" width="16.4285714285714" style="56" customWidth="1"/>
    <col min="4868" max="4869" width="17.7142857142857" style="56" customWidth="1"/>
    <col min="4870" max="4871" width="15.7142857142857" style="56" customWidth="1"/>
    <col min="4872" max="4872" width="19.7142857142857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9" style="56" customWidth="1"/>
    <col min="5122" max="5122" width="57.5714285714286" style="56" customWidth="1"/>
    <col min="5123" max="5123" width="16.4285714285714" style="56" customWidth="1"/>
    <col min="5124" max="5125" width="17.7142857142857" style="56" customWidth="1"/>
    <col min="5126" max="5127" width="15.7142857142857" style="56" customWidth="1"/>
    <col min="5128" max="5128" width="19.7142857142857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9" style="56" customWidth="1"/>
    <col min="5378" max="5378" width="57.5714285714286" style="56" customWidth="1"/>
    <col min="5379" max="5379" width="16.4285714285714" style="56" customWidth="1"/>
    <col min="5380" max="5381" width="17.7142857142857" style="56" customWidth="1"/>
    <col min="5382" max="5383" width="15.7142857142857" style="56" customWidth="1"/>
    <col min="5384" max="5384" width="19.7142857142857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9" style="56" customWidth="1"/>
    <col min="5634" max="5634" width="57.5714285714286" style="56" customWidth="1"/>
    <col min="5635" max="5635" width="16.4285714285714" style="56" customWidth="1"/>
    <col min="5636" max="5637" width="17.7142857142857" style="56" customWidth="1"/>
    <col min="5638" max="5639" width="15.7142857142857" style="56" customWidth="1"/>
    <col min="5640" max="5640" width="19.7142857142857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9" style="56" customWidth="1"/>
    <col min="5890" max="5890" width="57.5714285714286" style="56" customWidth="1"/>
    <col min="5891" max="5891" width="16.4285714285714" style="56" customWidth="1"/>
    <col min="5892" max="5893" width="17.7142857142857" style="56" customWidth="1"/>
    <col min="5894" max="5895" width="15.7142857142857" style="56" customWidth="1"/>
    <col min="5896" max="5896" width="19.7142857142857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9" style="56" customWidth="1"/>
    <col min="6146" max="6146" width="57.5714285714286" style="56" customWidth="1"/>
    <col min="6147" max="6147" width="16.4285714285714" style="56" customWidth="1"/>
    <col min="6148" max="6149" width="17.7142857142857" style="56" customWidth="1"/>
    <col min="6150" max="6151" width="15.7142857142857" style="56" customWidth="1"/>
    <col min="6152" max="6152" width="19.7142857142857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9" style="56" customWidth="1"/>
    <col min="6402" max="6402" width="57.5714285714286" style="56" customWidth="1"/>
    <col min="6403" max="6403" width="16.4285714285714" style="56" customWidth="1"/>
    <col min="6404" max="6405" width="17.7142857142857" style="56" customWidth="1"/>
    <col min="6406" max="6407" width="15.7142857142857" style="56" customWidth="1"/>
    <col min="6408" max="6408" width="19.7142857142857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9" style="56" customWidth="1"/>
    <col min="6658" max="6658" width="57.5714285714286" style="56" customWidth="1"/>
    <col min="6659" max="6659" width="16.4285714285714" style="56" customWidth="1"/>
    <col min="6660" max="6661" width="17.7142857142857" style="56" customWidth="1"/>
    <col min="6662" max="6663" width="15.7142857142857" style="56" customWidth="1"/>
    <col min="6664" max="6664" width="19.7142857142857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9" style="56" customWidth="1"/>
    <col min="6914" max="6914" width="57.5714285714286" style="56" customWidth="1"/>
    <col min="6915" max="6915" width="16.4285714285714" style="56" customWidth="1"/>
    <col min="6916" max="6917" width="17.7142857142857" style="56" customWidth="1"/>
    <col min="6918" max="6919" width="15.7142857142857" style="56" customWidth="1"/>
    <col min="6920" max="6920" width="19.7142857142857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9" style="56" customWidth="1"/>
    <col min="7170" max="7170" width="57.5714285714286" style="56" customWidth="1"/>
    <col min="7171" max="7171" width="16.4285714285714" style="56" customWidth="1"/>
    <col min="7172" max="7173" width="17.7142857142857" style="56" customWidth="1"/>
    <col min="7174" max="7175" width="15.7142857142857" style="56" customWidth="1"/>
    <col min="7176" max="7176" width="19.7142857142857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9" style="56" customWidth="1"/>
    <col min="7426" max="7426" width="57.5714285714286" style="56" customWidth="1"/>
    <col min="7427" max="7427" width="16.4285714285714" style="56" customWidth="1"/>
    <col min="7428" max="7429" width="17.7142857142857" style="56" customWidth="1"/>
    <col min="7430" max="7431" width="15.7142857142857" style="56" customWidth="1"/>
    <col min="7432" max="7432" width="19.7142857142857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9" style="56" customWidth="1"/>
    <col min="7682" max="7682" width="57.5714285714286" style="56" customWidth="1"/>
    <col min="7683" max="7683" width="16.4285714285714" style="56" customWidth="1"/>
    <col min="7684" max="7685" width="17.7142857142857" style="56" customWidth="1"/>
    <col min="7686" max="7687" width="15.7142857142857" style="56" customWidth="1"/>
    <col min="7688" max="7688" width="19.7142857142857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9" style="56" customWidth="1"/>
    <col min="7938" max="7938" width="57.5714285714286" style="56" customWidth="1"/>
    <col min="7939" max="7939" width="16.4285714285714" style="56" customWidth="1"/>
    <col min="7940" max="7941" width="17.7142857142857" style="56" customWidth="1"/>
    <col min="7942" max="7943" width="15.7142857142857" style="56" customWidth="1"/>
    <col min="7944" max="7944" width="19.7142857142857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9" style="56" customWidth="1"/>
    <col min="8194" max="8194" width="57.5714285714286" style="56" customWidth="1"/>
    <col min="8195" max="8195" width="16.4285714285714" style="56" customWidth="1"/>
    <col min="8196" max="8197" width="17.7142857142857" style="56" customWidth="1"/>
    <col min="8198" max="8199" width="15.7142857142857" style="56" customWidth="1"/>
    <col min="8200" max="8200" width="19.7142857142857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9" style="56" customWidth="1"/>
    <col min="8450" max="8450" width="57.5714285714286" style="56" customWidth="1"/>
    <col min="8451" max="8451" width="16.4285714285714" style="56" customWidth="1"/>
    <col min="8452" max="8453" width="17.7142857142857" style="56" customWidth="1"/>
    <col min="8454" max="8455" width="15.7142857142857" style="56" customWidth="1"/>
    <col min="8456" max="8456" width="19.7142857142857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9" style="56" customWidth="1"/>
    <col min="8706" max="8706" width="57.5714285714286" style="56" customWidth="1"/>
    <col min="8707" max="8707" width="16.4285714285714" style="56" customWidth="1"/>
    <col min="8708" max="8709" width="17.7142857142857" style="56" customWidth="1"/>
    <col min="8710" max="8711" width="15.7142857142857" style="56" customWidth="1"/>
    <col min="8712" max="8712" width="19.7142857142857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9" style="56" customWidth="1"/>
    <col min="8962" max="8962" width="57.5714285714286" style="56" customWidth="1"/>
    <col min="8963" max="8963" width="16.4285714285714" style="56" customWidth="1"/>
    <col min="8964" max="8965" width="17.7142857142857" style="56" customWidth="1"/>
    <col min="8966" max="8967" width="15.7142857142857" style="56" customWidth="1"/>
    <col min="8968" max="8968" width="19.7142857142857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9" style="56" customWidth="1"/>
    <col min="9218" max="9218" width="57.5714285714286" style="56" customWidth="1"/>
    <col min="9219" max="9219" width="16.4285714285714" style="56" customWidth="1"/>
    <col min="9220" max="9221" width="17.7142857142857" style="56" customWidth="1"/>
    <col min="9222" max="9223" width="15.7142857142857" style="56" customWidth="1"/>
    <col min="9224" max="9224" width="19.7142857142857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9" style="56" customWidth="1"/>
    <col min="9474" max="9474" width="57.5714285714286" style="56" customWidth="1"/>
    <col min="9475" max="9475" width="16.4285714285714" style="56" customWidth="1"/>
    <col min="9476" max="9477" width="17.7142857142857" style="56" customWidth="1"/>
    <col min="9478" max="9479" width="15.7142857142857" style="56" customWidth="1"/>
    <col min="9480" max="9480" width="19.7142857142857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9" style="56" customWidth="1"/>
    <col min="9730" max="9730" width="57.5714285714286" style="56" customWidth="1"/>
    <col min="9731" max="9731" width="16.4285714285714" style="56" customWidth="1"/>
    <col min="9732" max="9733" width="17.7142857142857" style="56" customWidth="1"/>
    <col min="9734" max="9735" width="15.7142857142857" style="56" customWidth="1"/>
    <col min="9736" max="9736" width="19.7142857142857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9" style="56" customWidth="1"/>
    <col min="9986" max="9986" width="57.5714285714286" style="56" customWidth="1"/>
    <col min="9987" max="9987" width="16.4285714285714" style="56" customWidth="1"/>
    <col min="9988" max="9989" width="17.7142857142857" style="56" customWidth="1"/>
    <col min="9990" max="9991" width="15.7142857142857" style="56" customWidth="1"/>
    <col min="9992" max="9992" width="19.7142857142857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9" style="56" customWidth="1"/>
    <col min="10242" max="10242" width="57.5714285714286" style="56" customWidth="1"/>
    <col min="10243" max="10243" width="16.4285714285714" style="56" customWidth="1"/>
    <col min="10244" max="10245" width="17.7142857142857" style="56" customWidth="1"/>
    <col min="10246" max="10247" width="15.7142857142857" style="56" customWidth="1"/>
    <col min="10248" max="10248" width="19.7142857142857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9" style="56" customWidth="1"/>
    <col min="10498" max="10498" width="57.5714285714286" style="56" customWidth="1"/>
    <col min="10499" max="10499" width="16.4285714285714" style="56" customWidth="1"/>
    <col min="10500" max="10501" width="17.7142857142857" style="56" customWidth="1"/>
    <col min="10502" max="10503" width="15.7142857142857" style="56" customWidth="1"/>
    <col min="10504" max="10504" width="19.7142857142857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9" style="56" customWidth="1"/>
    <col min="10754" max="10754" width="57.5714285714286" style="56" customWidth="1"/>
    <col min="10755" max="10755" width="16.4285714285714" style="56" customWidth="1"/>
    <col min="10756" max="10757" width="17.7142857142857" style="56" customWidth="1"/>
    <col min="10758" max="10759" width="15.7142857142857" style="56" customWidth="1"/>
    <col min="10760" max="10760" width="19.7142857142857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9" style="56" customWidth="1"/>
    <col min="11010" max="11010" width="57.5714285714286" style="56" customWidth="1"/>
    <col min="11011" max="11011" width="16.4285714285714" style="56" customWidth="1"/>
    <col min="11012" max="11013" width="17.7142857142857" style="56" customWidth="1"/>
    <col min="11014" max="11015" width="15.7142857142857" style="56" customWidth="1"/>
    <col min="11016" max="11016" width="19.7142857142857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9" style="56" customWidth="1"/>
    <col min="11266" max="11266" width="57.5714285714286" style="56" customWidth="1"/>
    <col min="11267" max="11267" width="16.4285714285714" style="56" customWidth="1"/>
    <col min="11268" max="11269" width="17.7142857142857" style="56" customWidth="1"/>
    <col min="11270" max="11271" width="15.7142857142857" style="56" customWidth="1"/>
    <col min="11272" max="11272" width="19.7142857142857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9" style="56" customWidth="1"/>
    <col min="11522" max="11522" width="57.5714285714286" style="56" customWidth="1"/>
    <col min="11523" max="11523" width="16.4285714285714" style="56" customWidth="1"/>
    <col min="11524" max="11525" width="17.7142857142857" style="56" customWidth="1"/>
    <col min="11526" max="11527" width="15.7142857142857" style="56" customWidth="1"/>
    <col min="11528" max="11528" width="19.7142857142857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9" style="56" customWidth="1"/>
    <col min="11778" max="11778" width="57.5714285714286" style="56" customWidth="1"/>
    <col min="11779" max="11779" width="16.4285714285714" style="56" customWidth="1"/>
    <col min="11780" max="11781" width="17.7142857142857" style="56" customWidth="1"/>
    <col min="11782" max="11783" width="15.7142857142857" style="56" customWidth="1"/>
    <col min="11784" max="11784" width="19.7142857142857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9" style="56" customWidth="1"/>
    <col min="12034" max="12034" width="57.5714285714286" style="56" customWidth="1"/>
    <col min="12035" max="12035" width="16.4285714285714" style="56" customWidth="1"/>
    <col min="12036" max="12037" width="17.7142857142857" style="56" customWidth="1"/>
    <col min="12038" max="12039" width="15.7142857142857" style="56" customWidth="1"/>
    <col min="12040" max="12040" width="19.7142857142857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9" style="56" customWidth="1"/>
    <col min="12290" max="12290" width="57.5714285714286" style="56" customWidth="1"/>
    <col min="12291" max="12291" width="16.4285714285714" style="56" customWidth="1"/>
    <col min="12292" max="12293" width="17.7142857142857" style="56" customWidth="1"/>
    <col min="12294" max="12295" width="15.7142857142857" style="56" customWidth="1"/>
    <col min="12296" max="12296" width="19.7142857142857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9" style="56" customWidth="1"/>
    <col min="12546" max="12546" width="57.5714285714286" style="56" customWidth="1"/>
    <col min="12547" max="12547" width="16.4285714285714" style="56" customWidth="1"/>
    <col min="12548" max="12549" width="17.7142857142857" style="56" customWidth="1"/>
    <col min="12550" max="12551" width="15.7142857142857" style="56" customWidth="1"/>
    <col min="12552" max="12552" width="19.7142857142857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9" style="56" customWidth="1"/>
    <col min="12802" max="12802" width="57.5714285714286" style="56" customWidth="1"/>
    <col min="12803" max="12803" width="16.4285714285714" style="56" customWidth="1"/>
    <col min="12804" max="12805" width="17.7142857142857" style="56" customWidth="1"/>
    <col min="12806" max="12807" width="15.7142857142857" style="56" customWidth="1"/>
    <col min="12808" max="12808" width="19.7142857142857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9" style="56" customWidth="1"/>
    <col min="13058" max="13058" width="57.5714285714286" style="56" customWidth="1"/>
    <col min="13059" max="13059" width="16.4285714285714" style="56" customWidth="1"/>
    <col min="13060" max="13061" width="17.7142857142857" style="56" customWidth="1"/>
    <col min="13062" max="13063" width="15.7142857142857" style="56" customWidth="1"/>
    <col min="13064" max="13064" width="19.7142857142857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9" style="56" customWidth="1"/>
    <col min="13314" max="13314" width="57.5714285714286" style="56" customWidth="1"/>
    <col min="13315" max="13315" width="16.4285714285714" style="56" customWidth="1"/>
    <col min="13316" max="13317" width="17.7142857142857" style="56" customWidth="1"/>
    <col min="13318" max="13319" width="15.7142857142857" style="56" customWidth="1"/>
    <col min="13320" max="13320" width="19.7142857142857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9" style="56" customWidth="1"/>
    <col min="13570" max="13570" width="57.5714285714286" style="56" customWidth="1"/>
    <col min="13571" max="13571" width="16.4285714285714" style="56" customWidth="1"/>
    <col min="13572" max="13573" width="17.7142857142857" style="56" customWidth="1"/>
    <col min="13574" max="13575" width="15.7142857142857" style="56" customWidth="1"/>
    <col min="13576" max="13576" width="19.7142857142857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9" style="56" customWidth="1"/>
    <col min="13826" max="13826" width="57.5714285714286" style="56" customWidth="1"/>
    <col min="13827" max="13827" width="16.4285714285714" style="56" customWidth="1"/>
    <col min="13828" max="13829" width="17.7142857142857" style="56" customWidth="1"/>
    <col min="13830" max="13831" width="15.7142857142857" style="56" customWidth="1"/>
    <col min="13832" max="13832" width="19.7142857142857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9" style="56" customWidth="1"/>
    <col min="14082" max="14082" width="57.5714285714286" style="56" customWidth="1"/>
    <col min="14083" max="14083" width="16.4285714285714" style="56" customWidth="1"/>
    <col min="14084" max="14085" width="17.7142857142857" style="56" customWidth="1"/>
    <col min="14086" max="14087" width="15.7142857142857" style="56" customWidth="1"/>
    <col min="14088" max="14088" width="19.7142857142857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9" style="56" customWidth="1"/>
    <col min="14338" max="14338" width="57.5714285714286" style="56" customWidth="1"/>
    <col min="14339" max="14339" width="16.4285714285714" style="56" customWidth="1"/>
    <col min="14340" max="14341" width="17.7142857142857" style="56" customWidth="1"/>
    <col min="14342" max="14343" width="15.7142857142857" style="56" customWidth="1"/>
    <col min="14344" max="14344" width="19.7142857142857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9" style="56" customWidth="1"/>
    <col min="14594" max="14594" width="57.5714285714286" style="56" customWidth="1"/>
    <col min="14595" max="14595" width="16.4285714285714" style="56" customWidth="1"/>
    <col min="14596" max="14597" width="17.7142857142857" style="56" customWidth="1"/>
    <col min="14598" max="14599" width="15.7142857142857" style="56" customWidth="1"/>
    <col min="14600" max="14600" width="19.7142857142857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9" style="56" customWidth="1"/>
    <col min="14850" max="14850" width="57.5714285714286" style="56" customWidth="1"/>
    <col min="14851" max="14851" width="16.4285714285714" style="56" customWidth="1"/>
    <col min="14852" max="14853" width="17.7142857142857" style="56" customWidth="1"/>
    <col min="14854" max="14855" width="15.7142857142857" style="56" customWidth="1"/>
    <col min="14856" max="14856" width="19.7142857142857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9" style="56" customWidth="1"/>
    <col min="15106" max="15106" width="57.5714285714286" style="56" customWidth="1"/>
    <col min="15107" max="15107" width="16.4285714285714" style="56" customWidth="1"/>
    <col min="15108" max="15109" width="17.7142857142857" style="56" customWidth="1"/>
    <col min="15110" max="15111" width="15.7142857142857" style="56" customWidth="1"/>
    <col min="15112" max="15112" width="19.7142857142857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9" style="56" customWidth="1"/>
    <col min="15362" max="15362" width="57.5714285714286" style="56" customWidth="1"/>
    <col min="15363" max="15363" width="16.4285714285714" style="56" customWidth="1"/>
    <col min="15364" max="15365" width="17.7142857142857" style="56" customWidth="1"/>
    <col min="15366" max="15367" width="15.7142857142857" style="56" customWidth="1"/>
    <col min="15368" max="15368" width="19.7142857142857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9" style="56" customWidth="1"/>
    <col min="15618" max="15618" width="57.5714285714286" style="56" customWidth="1"/>
    <col min="15619" max="15619" width="16.4285714285714" style="56" customWidth="1"/>
    <col min="15620" max="15621" width="17.7142857142857" style="56" customWidth="1"/>
    <col min="15622" max="15623" width="15.7142857142857" style="56" customWidth="1"/>
    <col min="15624" max="15624" width="19.7142857142857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9" style="56" customWidth="1"/>
    <col min="15874" max="15874" width="57.5714285714286" style="56" customWidth="1"/>
    <col min="15875" max="15875" width="16.4285714285714" style="56" customWidth="1"/>
    <col min="15876" max="15877" width="17.7142857142857" style="56" customWidth="1"/>
    <col min="15878" max="15879" width="15.7142857142857" style="56" customWidth="1"/>
    <col min="15880" max="15880" width="19.7142857142857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9" style="56" customWidth="1"/>
    <col min="16130" max="16130" width="57.5714285714286" style="56" customWidth="1"/>
    <col min="16131" max="16131" width="16.4285714285714" style="56" customWidth="1"/>
    <col min="16132" max="16133" width="17.7142857142857" style="56" customWidth="1"/>
    <col min="16134" max="16135" width="15.7142857142857" style="56" customWidth="1"/>
    <col min="16136" max="16136" width="19.7142857142857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20.25" hidden="1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80"/>
      <c r="M1" s="80"/>
      <c r="N1" s="80"/>
      <c r="O1" s="80"/>
    </row>
    <row r="2" ht="15.75" hidden="1" customHeight="1" spans="1: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80"/>
      <c r="M2" s="80"/>
      <c r="N2" s="80"/>
      <c r="O2" s="80"/>
    </row>
    <row r="3" ht="18" hidden="1" customHeight="1" spans="1:15">
      <c r="A3" s="60"/>
      <c r="B3" s="60"/>
      <c r="C3" s="60"/>
      <c r="D3" s="60"/>
      <c r="E3" s="60"/>
      <c r="F3" s="60"/>
      <c r="G3" s="60"/>
      <c r="H3" s="60"/>
      <c r="I3" s="81"/>
      <c r="J3" s="81"/>
      <c r="K3" s="81"/>
      <c r="L3" s="80"/>
      <c r="M3" s="80"/>
      <c r="N3" s="80"/>
      <c r="O3" s="80"/>
    </row>
    <row r="4" ht="18" spans="1:15">
      <c r="A4" s="60"/>
      <c r="B4" s="60"/>
      <c r="C4" s="60"/>
      <c r="D4" s="60"/>
      <c r="E4" s="60"/>
      <c r="F4" s="60"/>
      <c r="G4" s="60"/>
      <c r="H4" s="60"/>
      <c r="I4" s="81"/>
      <c r="J4" s="81"/>
      <c r="K4" s="81"/>
      <c r="L4" s="80"/>
      <c r="M4" s="80"/>
      <c r="N4" s="80"/>
      <c r="O4" s="80"/>
    </row>
    <row r="5" ht="15.75" customHeight="1" spans="1:15">
      <c r="A5" s="61" t="s">
        <v>505</v>
      </c>
      <c r="B5" s="61"/>
      <c r="C5" s="61"/>
      <c r="D5" s="61"/>
      <c r="E5" s="61"/>
      <c r="F5" s="61"/>
      <c r="G5" s="61"/>
      <c r="H5" s="61"/>
      <c r="I5" s="82"/>
      <c r="J5" s="82"/>
      <c r="K5" s="82"/>
      <c r="L5" s="80"/>
      <c r="M5" s="80"/>
      <c r="N5" s="80"/>
      <c r="O5" s="80"/>
    </row>
    <row r="6" ht="18" spans="1:15">
      <c r="A6" s="60"/>
      <c r="B6" s="60"/>
      <c r="C6" s="60"/>
      <c r="D6" s="60"/>
      <c r="E6" s="60"/>
      <c r="F6" s="60"/>
      <c r="G6" s="60"/>
      <c r="H6" s="60"/>
      <c r="I6" s="81"/>
      <c r="J6" s="81"/>
      <c r="K6" s="81"/>
      <c r="L6" s="80"/>
      <c r="M6" s="80"/>
      <c r="N6" s="80"/>
      <c r="O6" s="80"/>
    </row>
    <row r="7" s="54" customFormat="1" ht="57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83"/>
      <c r="J7" s="83"/>
      <c r="K7" s="83"/>
      <c r="L7" s="83"/>
      <c r="M7" s="83"/>
      <c r="N7" s="83"/>
      <c r="O7" s="83"/>
    </row>
    <row r="8" s="55" customFormat="1" customHeigh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84"/>
      <c r="J8" s="84"/>
      <c r="K8" s="84"/>
      <c r="L8" s="84"/>
      <c r="M8" s="85"/>
      <c r="N8" s="85"/>
      <c r="O8" s="85"/>
    </row>
    <row r="9" ht="15" customHeight="1" spans="1:15">
      <c r="A9" s="213" t="s">
        <v>506</v>
      </c>
      <c r="B9" s="213" t="s">
        <v>40</v>
      </c>
      <c r="C9" s="214" t="s">
        <v>41</v>
      </c>
      <c r="D9" s="214" t="s">
        <v>41</v>
      </c>
      <c r="E9" s="214" t="s">
        <v>41</v>
      </c>
      <c r="F9" s="214" t="s">
        <v>41</v>
      </c>
      <c r="G9" s="214" t="s">
        <v>40</v>
      </c>
      <c r="H9" s="214" t="s">
        <v>40</v>
      </c>
      <c r="I9" s="100"/>
      <c r="J9" s="100"/>
      <c r="K9" s="100"/>
      <c r="L9" s="100"/>
      <c r="M9" s="101"/>
      <c r="N9" s="101"/>
      <c r="O9" s="101"/>
    </row>
    <row r="10" spans="1:15">
      <c r="A10" s="104"/>
      <c r="B10" s="105" t="s">
        <v>507</v>
      </c>
      <c r="C10" s="106">
        <f>+C11+C13</f>
        <v>3848943</v>
      </c>
      <c r="D10" s="106">
        <f>+D11+D13</f>
        <v>7349870</v>
      </c>
      <c r="E10" s="106">
        <f>+E11+E13</f>
        <v>7349870</v>
      </c>
      <c r="F10" s="106">
        <f>+F11+F13</f>
        <v>4172754.9</v>
      </c>
      <c r="G10" s="107">
        <f>+F10/C10*100</f>
        <v>108.413008454529</v>
      </c>
      <c r="H10" s="107">
        <f>+F10/E10*100</f>
        <v>56.7731796616811</v>
      </c>
      <c r="I10" s="100"/>
      <c r="J10" s="100"/>
      <c r="K10" s="100"/>
      <c r="L10" s="100"/>
      <c r="M10" s="120"/>
      <c r="N10" s="120"/>
      <c r="O10" s="120"/>
    </row>
    <row r="11" spans="1:15">
      <c r="A11" s="225" t="s">
        <v>508</v>
      </c>
      <c r="B11" s="226" t="s">
        <v>509</v>
      </c>
      <c r="C11" s="110">
        <f>+C12</f>
        <v>0</v>
      </c>
      <c r="D11" s="111">
        <f t="shared" ref="D11:F11" si="0">+D12</f>
        <v>0</v>
      </c>
      <c r="E11" s="111">
        <f t="shared" si="0"/>
        <v>0</v>
      </c>
      <c r="F11" s="110">
        <f t="shared" si="0"/>
        <v>0</v>
      </c>
      <c r="G11" s="110" t="e">
        <f t="shared" ref="G11:G14" si="1">+F11/C11*100</f>
        <v>#DIV/0!</v>
      </c>
      <c r="H11" s="110" t="e">
        <f t="shared" ref="H11:H14" si="2">+F11/E11*100</f>
        <v>#DIV/0!</v>
      </c>
      <c r="I11" s="102"/>
      <c r="J11" s="102"/>
      <c r="K11" s="102"/>
      <c r="L11" s="102"/>
      <c r="M11" s="103"/>
      <c r="N11" s="103"/>
      <c r="O11" s="103"/>
    </row>
    <row r="12" spans="1:15">
      <c r="A12" s="227" t="s">
        <v>510</v>
      </c>
      <c r="B12" s="228" t="s">
        <v>511</v>
      </c>
      <c r="C12" s="78"/>
      <c r="D12" s="79">
        <v>0</v>
      </c>
      <c r="E12" s="79">
        <v>0</v>
      </c>
      <c r="F12" s="78">
        <v>0</v>
      </c>
      <c r="G12" s="78" t="e">
        <f t="shared" si="1"/>
        <v>#DIV/0!</v>
      </c>
      <c r="H12" s="78" t="e">
        <f t="shared" si="2"/>
        <v>#DIV/0!</v>
      </c>
      <c r="I12" s="86"/>
      <c r="J12" s="86"/>
      <c r="K12" s="86"/>
      <c r="L12" s="86"/>
      <c r="M12" s="87"/>
      <c r="N12" s="87"/>
      <c r="O12" s="87"/>
    </row>
    <row r="13" spans="1:15">
      <c r="A13" s="225" t="s">
        <v>512</v>
      </c>
      <c r="B13" s="226" t="s">
        <v>513</v>
      </c>
      <c r="C13" s="110">
        <f>+C14</f>
        <v>3848943</v>
      </c>
      <c r="D13" s="111">
        <f t="shared" ref="D13" si="3">+D14</f>
        <v>7349870</v>
      </c>
      <c r="E13" s="111">
        <f t="shared" ref="E13" si="4">+E14</f>
        <v>7349870</v>
      </c>
      <c r="F13" s="110">
        <f t="shared" ref="F13" si="5">+F14</f>
        <v>4172754.9</v>
      </c>
      <c r="G13" s="110">
        <f t="shared" si="1"/>
        <v>108.413008454529</v>
      </c>
      <c r="H13" s="110">
        <f t="shared" si="2"/>
        <v>56.7731796616811</v>
      </c>
      <c r="I13" s="102"/>
      <c r="J13" s="102"/>
      <c r="K13" s="102"/>
      <c r="L13" s="102"/>
      <c r="M13" s="103"/>
      <c r="N13" s="103"/>
      <c r="O13" s="103"/>
    </row>
    <row r="14" spans="1:15">
      <c r="A14" s="227" t="s">
        <v>514</v>
      </c>
      <c r="B14" s="228" t="s">
        <v>515</v>
      </c>
      <c r="C14" s="78">
        <v>3848943</v>
      </c>
      <c r="D14" s="79">
        <v>7349870</v>
      </c>
      <c r="E14" s="79">
        <v>7349870</v>
      </c>
      <c r="F14" s="78">
        <f>4123888.23-15847.87+64254.87+459.67</f>
        <v>4172754.9</v>
      </c>
      <c r="G14" s="78">
        <f t="shared" si="1"/>
        <v>108.413008454529</v>
      </c>
      <c r="H14" s="78">
        <f t="shared" si="2"/>
        <v>56.7731796616811</v>
      </c>
      <c r="I14" s="87"/>
      <c r="J14" s="87"/>
      <c r="K14" s="87"/>
      <c r="L14" s="87"/>
      <c r="M14" s="87"/>
      <c r="N14" s="87"/>
      <c r="O14" s="87"/>
    </row>
    <row r="15" spans="1:15">
      <c r="A15" s="113"/>
      <c r="B15" s="114"/>
      <c r="C15" s="115"/>
      <c r="D15" s="116"/>
      <c r="E15" s="116"/>
      <c r="F15" s="115"/>
      <c r="G15" s="115"/>
      <c r="H15" s="115"/>
      <c r="I15" s="103"/>
      <c r="J15" s="103"/>
      <c r="K15" s="103"/>
      <c r="L15" s="103"/>
      <c r="M15" s="103"/>
      <c r="N15" s="103"/>
      <c r="O15" s="103"/>
    </row>
    <row r="16" spans="1:15">
      <c r="A16" s="112"/>
      <c r="B16" s="77"/>
      <c r="C16" s="78"/>
      <c r="D16" s="79"/>
      <c r="E16" s="79"/>
      <c r="F16" s="78"/>
      <c r="G16" s="78"/>
      <c r="H16" s="78"/>
      <c r="I16" s="87"/>
      <c r="J16" s="87"/>
      <c r="K16" s="87"/>
      <c r="L16" s="87"/>
      <c r="M16" s="87"/>
      <c r="N16" s="87"/>
      <c r="O16" s="87"/>
    </row>
    <row r="17" spans="1:15">
      <c r="A17" s="112"/>
      <c r="B17" s="77"/>
      <c r="C17" s="78"/>
      <c r="D17" s="79"/>
      <c r="E17" s="79"/>
      <c r="F17" s="78"/>
      <c r="G17" s="78"/>
      <c r="H17" s="78"/>
      <c r="I17" s="87"/>
      <c r="J17" s="87"/>
      <c r="K17" s="87"/>
      <c r="L17" s="87"/>
      <c r="M17" s="87"/>
      <c r="N17" s="87"/>
      <c r="O17" s="87"/>
    </row>
    <row r="18" spans="1:15">
      <c r="A18" s="112"/>
      <c r="B18" s="77"/>
      <c r="C18" s="78"/>
      <c r="D18" s="79"/>
      <c r="E18" s="79"/>
      <c r="F18" s="78"/>
      <c r="G18" s="78"/>
      <c r="H18" s="78"/>
      <c r="I18" s="87"/>
      <c r="J18" s="87"/>
      <c r="K18" s="87"/>
      <c r="L18" s="87"/>
      <c r="M18" s="87"/>
      <c r="N18" s="87"/>
      <c r="O18" s="87"/>
    </row>
    <row r="19" spans="1:15">
      <c r="A19" s="112"/>
      <c r="B19" s="77"/>
      <c r="C19" s="78"/>
      <c r="D19" s="79"/>
      <c r="E19" s="79"/>
      <c r="F19" s="78"/>
      <c r="G19" s="78"/>
      <c r="H19" s="78"/>
      <c r="I19" s="87"/>
      <c r="J19" s="87"/>
      <c r="K19" s="87"/>
      <c r="L19" s="87"/>
      <c r="M19" s="87"/>
      <c r="N19" s="87"/>
      <c r="O19" s="87"/>
    </row>
    <row r="20" spans="1:15">
      <c r="A20" s="112"/>
      <c r="B20" s="77"/>
      <c r="C20" s="78"/>
      <c r="D20" s="79"/>
      <c r="E20" s="79"/>
      <c r="F20" s="78"/>
      <c r="G20" s="78"/>
      <c r="H20" s="78"/>
      <c r="I20" s="87"/>
      <c r="J20" s="87"/>
      <c r="K20" s="87"/>
      <c r="L20" s="87"/>
      <c r="M20" s="87"/>
      <c r="N20" s="87"/>
      <c r="O20" s="87"/>
    </row>
    <row r="21" spans="1:15">
      <c r="A21" s="113"/>
      <c r="B21" s="114"/>
      <c r="C21" s="115"/>
      <c r="D21" s="116"/>
      <c r="E21" s="116"/>
      <c r="F21" s="115"/>
      <c r="G21" s="115"/>
      <c r="H21" s="115"/>
      <c r="I21" s="103"/>
      <c r="J21" s="103"/>
      <c r="K21" s="103"/>
      <c r="L21" s="103"/>
      <c r="M21" s="103"/>
      <c r="N21" s="103"/>
      <c r="O21" s="103"/>
    </row>
    <row r="22" spans="1:15">
      <c r="A22" s="112"/>
      <c r="B22" s="77"/>
      <c r="C22" s="78"/>
      <c r="D22" s="79"/>
      <c r="E22" s="79"/>
      <c r="F22" s="78"/>
      <c r="G22" s="78"/>
      <c r="H22" s="78"/>
      <c r="I22" s="87"/>
      <c r="J22" s="87"/>
      <c r="K22" s="87"/>
      <c r="L22" s="87"/>
      <c r="M22" s="87"/>
      <c r="N22" s="87"/>
      <c r="O22" s="87"/>
    </row>
    <row r="23" spans="1:15">
      <c r="A23" s="113"/>
      <c r="B23" s="114"/>
      <c r="C23" s="115"/>
      <c r="D23" s="116"/>
      <c r="E23" s="116"/>
      <c r="F23" s="115"/>
      <c r="G23" s="115"/>
      <c r="H23" s="115"/>
      <c r="I23" s="103"/>
      <c r="J23" s="103"/>
      <c r="K23" s="103"/>
      <c r="L23" s="103"/>
      <c r="M23" s="103"/>
      <c r="N23" s="103"/>
      <c r="O23" s="103"/>
    </row>
    <row r="24" spans="1:15">
      <c r="A24" s="112"/>
      <c r="B24" s="77"/>
      <c r="C24" s="78"/>
      <c r="D24" s="79"/>
      <c r="E24" s="79"/>
      <c r="F24" s="78"/>
      <c r="G24" s="78"/>
      <c r="H24" s="78"/>
      <c r="I24" s="87"/>
      <c r="J24" s="87"/>
      <c r="K24" s="87"/>
      <c r="L24" s="87"/>
      <c r="M24" s="87"/>
      <c r="N24" s="87"/>
      <c r="O24" s="87"/>
    </row>
    <row r="25" spans="1:15">
      <c r="A25" s="117"/>
      <c r="B25" s="117"/>
      <c r="C25" s="118"/>
      <c r="D25" s="119"/>
      <c r="E25" s="119"/>
      <c r="F25" s="118"/>
      <c r="G25" s="118"/>
      <c r="H25" s="118"/>
      <c r="I25" s="121"/>
      <c r="J25" s="121"/>
      <c r="K25" s="121"/>
      <c r="L25" s="121"/>
      <c r="M25" s="121"/>
      <c r="N25" s="121"/>
      <c r="O25" s="121"/>
    </row>
    <row r="26" spans="1:15">
      <c r="A26" s="113"/>
      <c r="B26" s="114"/>
      <c r="C26" s="115"/>
      <c r="D26" s="116"/>
      <c r="E26" s="116"/>
      <c r="F26" s="115"/>
      <c r="G26" s="115"/>
      <c r="H26" s="115"/>
      <c r="I26" s="103"/>
      <c r="J26" s="103"/>
      <c r="K26" s="103"/>
      <c r="L26" s="103"/>
      <c r="M26" s="103"/>
      <c r="N26" s="103"/>
      <c r="O26" s="103"/>
    </row>
    <row r="27" spans="1:15">
      <c r="A27" s="112"/>
      <c r="B27" s="77"/>
      <c r="C27" s="78"/>
      <c r="D27" s="79"/>
      <c r="E27" s="79"/>
      <c r="F27" s="78"/>
      <c r="G27" s="78"/>
      <c r="H27" s="78"/>
      <c r="I27" s="87"/>
      <c r="J27" s="87"/>
      <c r="K27" s="87"/>
      <c r="L27" s="87"/>
      <c r="M27" s="87"/>
      <c r="N27" s="87"/>
      <c r="O27" s="87"/>
    </row>
    <row r="28" spans="1:15">
      <c r="A28" s="112"/>
      <c r="B28" s="77"/>
      <c r="C28" s="78"/>
      <c r="D28" s="79"/>
      <c r="E28" s="79"/>
      <c r="F28" s="78"/>
      <c r="G28" s="78"/>
      <c r="H28" s="78"/>
      <c r="I28" s="87"/>
      <c r="J28" s="87"/>
      <c r="K28" s="87"/>
      <c r="L28" s="87"/>
      <c r="M28" s="87"/>
      <c r="N28" s="87"/>
      <c r="O28" s="87"/>
    </row>
    <row r="29" spans="1:15">
      <c r="A29" s="113"/>
      <c r="B29" s="114"/>
      <c r="C29" s="115"/>
      <c r="D29" s="116"/>
      <c r="E29" s="116"/>
      <c r="F29" s="115"/>
      <c r="G29" s="115"/>
      <c r="H29" s="115"/>
      <c r="I29" s="103"/>
      <c r="J29" s="103"/>
      <c r="K29" s="103"/>
      <c r="L29" s="103"/>
      <c r="M29" s="103"/>
      <c r="N29" s="103"/>
      <c r="O29" s="103"/>
    </row>
    <row r="30" spans="1:15">
      <c r="A30" s="112"/>
      <c r="B30" s="77"/>
      <c r="C30" s="78"/>
      <c r="D30" s="79"/>
      <c r="E30" s="79"/>
      <c r="F30" s="78"/>
      <c r="G30" s="78"/>
      <c r="H30" s="78"/>
      <c r="I30" s="87"/>
      <c r="J30" s="87"/>
      <c r="K30" s="87"/>
      <c r="L30" s="87"/>
      <c r="M30" s="87"/>
      <c r="N30" s="87"/>
      <c r="O30" s="87"/>
    </row>
    <row r="31" spans="1:15">
      <c r="A31" s="113"/>
      <c r="B31" s="114"/>
      <c r="C31" s="115"/>
      <c r="D31" s="116"/>
      <c r="E31" s="116"/>
      <c r="F31" s="115"/>
      <c r="G31" s="115"/>
      <c r="H31" s="115"/>
      <c r="I31" s="103"/>
      <c r="J31" s="103"/>
      <c r="K31" s="103"/>
      <c r="L31" s="103"/>
      <c r="M31" s="103"/>
      <c r="N31" s="103"/>
      <c r="O31" s="103"/>
    </row>
    <row r="32" spans="1:15">
      <c r="A32" s="112"/>
      <c r="B32" s="77"/>
      <c r="C32" s="78"/>
      <c r="D32" s="79"/>
      <c r="E32" s="79"/>
      <c r="F32" s="78"/>
      <c r="G32" s="78"/>
      <c r="H32" s="78"/>
      <c r="I32" s="87"/>
      <c r="J32" s="87"/>
      <c r="K32" s="87"/>
      <c r="L32" s="87"/>
      <c r="M32" s="87"/>
      <c r="N32" s="87"/>
      <c r="O32" s="87"/>
    </row>
    <row r="33" spans="1:15">
      <c r="A33" s="113"/>
      <c r="B33" s="114"/>
      <c r="C33" s="115"/>
      <c r="D33" s="116"/>
      <c r="E33" s="116"/>
      <c r="F33" s="115"/>
      <c r="G33" s="115"/>
      <c r="H33" s="115"/>
      <c r="I33" s="103"/>
      <c r="J33" s="103"/>
      <c r="K33" s="103"/>
      <c r="L33" s="103"/>
      <c r="M33" s="103"/>
      <c r="N33" s="103"/>
      <c r="O33" s="103"/>
    </row>
    <row r="34" spans="1:15">
      <c r="A34" s="112"/>
      <c r="B34" s="77"/>
      <c r="C34" s="78"/>
      <c r="D34" s="79"/>
      <c r="E34" s="79"/>
      <c r="F34" s="78"/>
      <c r="G34" s="78"/>
      <c r="H34" s="78"/>
      <c r="I34" s="87"/>
      <c r="J34" s="87"/>
      <c r="K34" s="87"/>
      <c r="L34" s="87"/>
      <c r="M34" s="87"/>
      <c r="N34" s="87"/>
      <c r="O34" s="87"/>
    </row>
    <row r="35" spans="1:15">
      <c r="A35" s="112"/>
      <c r="B35" s="77"/>
      <c r="C35" s="78"/>
      <c r="D35" s="79"/>
      <c r="E35" s="79"/>
      <c r="F35" s="78"/>
      <c r="G35" s="78"/>
      <c r="H35" s="78"/>
      <c r="I35" s="87"/>
      <c r="J35" s="87"/>
      <c r="K35" s="87"/>
      <c r="L35" s="87"/>
      <c r="M35" s="87"/>
      <c r="N35" s="87"/>
      <c r="O35" s="87"/>
    </row>
    <row r="36" spans="1:15">
      <c r="A36" s="112"/>
      <c r="B36" s="77"/>
      <c r="C36" s="78"/>
      <c r="D36" s="79"/>
      <c r="E36" s="79"/>
      <c r="F36" s="78"/>
      <c r="G36" s="78"/>
      <c r="H36" s="78"/>
      <c r="I36" s="87"/>
      <c r="J36" s="87"/>
      <c r="K36" s="87"/>
      <c r="L36" s="87"/>
      <c r="M36" s="87"/>
      <c r="N36" s="87"/>
      <c r="O36" s="87"/>
    </row>
    <row r="37" spans="1:15">
      <c r="A37" s="112"/>
      <c r="B37" s="77"/>
      <c r="C37" s="78"/>
      <c r="D37" s="79"/>
      <c r="E37" s="79"/>
      <c r="F37" s="78"/>
      <c r="G37" s="78"/>
      <c r="H37" s="78"/>
      <c r="I37" s="87"/>
      <c r="J37" s="87"/>
      <c r="K37" s="87"/>
      <c r="L37" s="87"/>
      <c r="M37" s="87"/>
      <c r="N37" s="87"/>
      <c r="O37" s="87"/>
    </row>
    <row r="38" spans="1:15">
      <c r="A38" s="112"/>
      <c r="B38" s="77"/>
      <c r="C38" s="78"/>
      <c r="D38" s="79"/>
      <c r="E38" s="79"/>
      <c r="F38" s="78"/>
      <c r="G38" s="78"/>
      <c r="H38" s="78"/>
      <c r="I38" s="87"/>
      <c r="J38" s="87"/>
      <c r="K38" s="87"/>
      <c r="L38" s="87"/>
      <c r="M38" s="87"/>
      <c r="N38" s="87"/>
      <c r="O38" s="87"/>
    </row>
    <row r="39" spans="1:15">
      <c r="A39" s="113"/>
      <c r="B39" s="114"/>
      <c r="C39" s="115"/>
      <c r="D39" s="116"/>
      <c r="E39" s="116"/>
      <c r="F39" s="115"/>
      <c r="G39" s="115"/>
      <c r="H39" s="115"/>
      <c r="I39" s="103"/>
      <c r="J39" s="103"/>
      <c r="K39" s="103"/>
      <c r="L39" s="103"/>
      <c r="M39" s="103"/>
      <c r="N39" s="103"/>
      <c r="O39" s="103"/>
    </row>
    <row r="40" spans="1:15">
      <c r="A40" s="112"/>
      <c r="B40" s="77"/>
      <c r="C40" s="78"/>
      <c r="D40" s="79"/>
      <c r="E40" s="79"/>
      <c r="F40" s="78"/>
      <c r="G40" s="78"/>
      <c r="H40" s="78"/>
      <c r="I40" s="87"/>
      <c r="J40" s="87"/>
      <c r="K40" s="87"/>
      <c r="L40" s="87"/>
      <c r="M40" s="87"/>
      <c r="N40" s="87"/>
      <c r="O40" s="87"/>
    </row>
    <row r="41" spans="1:15">
      <c r="A41" s="113"/>
      <c r="B41" s="114"/>
      <c r="C41" s="115"/>
      <c r="D41" s="116"/>
      <c r="E41" s="116"/>
      <c r="F41" s="115"/>
      <c r="G41" s="115"/>
      <c r="H41" s="115"/>
      <c r="I41" s="103"/>
      <c r="J41" s="103"/>
      <c r="K41" s="103"/>
      <c r="L41" s="103"/>
      <c r="M41" s="103"/>
      <c r="N41" s="103"/>
      <c r="O41" s="103"/>
    </row>
    <row r="42" spans="1:15">
      <c r="A42" s="112"/>
      <c r="B42" s="77"/>
      <c r="C42" s="78"/>
      <c r="D42" s="79"/>
      <c r="E42" s="79"/>
      <c r="F42" s="78"/>
      <c r="G42" s="78"/>
      <c r="H42" s="78"/>
      <c r="I42" s="87"/>
      <c r="J42" s="87"/>
      <c r="K42" s="87"/>
      <c r="L42" s="87"/>
      <c r="M42" s="87"/>
      <c r="N42" s="87"/>
      <c r="O42" s="87"/>
    </row>
    <row r="43" spans="1:15">
      <c r="A43" s="113"/>
      <c r="B43" s="114"/>
      <c r="C43" s="115"/>
      <c r="D43" s="115"/>
      <c r="E43" s="116"/>
      <c r="F43" s="115"/>
      <c r="G43" s="115"/>
      <c r="H43" s="115"/>
      <c r="I43" s="103"/>
      <c r="J43" s="103"/>
      <c r="K43" s="103"/>
      <c r="L43" s="103"/>
      <c r="M43" s="103"/>
      <c r="N43" s="103"/>
      <c r="O43" s="103"/>
    </row>
    <row r="44" spans="1:15">
      <c r="A44" s="112"/>
      <c r="B44" s="77"/>
      <c r="C44" s="78"/>
      <c r="D44" s="78"/>
      <c r="E44" s="79"/>
      <c r="F44" s="78"/>
      <c r="G44" s="78"/>
      <c r="H44" s="78"/>
      <c r="I44" s="87"/>
      <c r="J44" s="87"/>
      <c r="K44" s="87"/>
      <c r="L44" s="87"/>
      <c r="M44" s="87"/>
      <c r="N44" s="87"/>
      <c r="O44" s="87"/>
    </row>
  </sheetData>
  <mergeCells count="4">
    <mergeCell ref="A2:K2"/>
    <mergeCell ref="A5:H5"/>
    <mergeCell ref="A7:B7"/>
    <mergeCell ref="A8:B8"/>
  </mergeCells>
  <pageMargins left="0.7" right="0.7" top="0.75" bottom="0.75" header="0.3" footer="0.3"/>
  <pageSetup paperSize="9" scale="9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zoomScale="90" zoomScaleNormal="90" topLeftCell="A4" workbookViewId="0">
      <pane xSplit="2" ySplit="6" topLeftCell="C10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2.75"/>
  <cols>
    <col min="1" max="1" width="16.7142857142857" style="56" customWidth="1"/>
    <col min="2" max="2" width="50.7142857142857" style="57" customWidth="1"/>
    <col min="3" max="3" width="20.1428571428571" style="58" customWidth="1"/>
    <col min="4" max="5" width="17.7142857142857" style="59" customWidth="1"/>
    <col min="6" max="6" width="16.5714285714286" style="58" customWidth="1"/>
    <col min="7" max="8" width="9.85714285714286" style="58" customWidth="1"/>
    <col min="9" max="9" width="15.4285714285714" style="56" customWidth="1"/>
    <col min="10" max="10" width="9.42857142857143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8.4285714285714" style="56" customWidth="1"/>
    <col min="258" max="258" width="50.7142857142857" style="56" customWidth="1"/>
    <col min="259" max="259" width="20.1428571428571" style="56" customWidth="1"/>
    <col min="260" max="261" width="17.7142857142857" style="56" customWidth="1"/>
    <col min="262" max="262" width="16.5714285714286" style="56" customWidth="1"/>
    <col min="263" max="263" width="15.7142857142857" style="56" customWidth="1"/>
    <col min="264" max="264" width="18.4285714285714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8.4285714285714" style="56" customWidth="1"/>
    <col min="514" max="514" width="50.7142857142857" style="56" customWidth="1"/>
    <col min="515" max="515" width="20.1428571428571" style="56" customWidth="1"/>
    <col min="516" max="517" width="17.7142857142857" style="56" customWidth="1"/>
    <col min="518" max="518" width="16.5714285714286" style="56" customWidth="1"/>
    <col min="519" max="519" width="15.7142857142857" style="56" customWidth="1"/>
    <col min="520" max="520" width="18.4285714285714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8.4285714285714" style="56" customWidth="1"/>
    <col min="770" max="770" width="50.7142857142857" style="56" customWidth="1"/>
    <col min="771" max="771" width="20.1428571428571" style="56" customWidth="1"/>
    <col min="772" max="773" width="17.7142857142857" style="56" customWidth="1"/>
    <col min="774" max="774" width="16.5714285714286" style="56" customWidth="1"/>
    <col min="775" max="775" width="15.7142857142857" style="56" customWidth="1"/>
    <col min="776" max="776" width="18.4285714285714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8.4285714285714" style="56" customWidth="1"/>
    <col min="1026" max="1026" width="50.7142857142857" style="56" customWidth="1"/>
    <col min="1027" max="1027" width="20.1428571428571" style="56" customWidth="1"/>
    <col min="1028" max="1029" width="17.7142857142857" style="56" customWidth="1"/>
    <col min="1030" max="1030" width="16.5714285714286" style="56" customWidth="1"/>
    <col min="1031" max="1031" width="15.7142857142857" style="56" customWidth="1"/>
    <col min="1032" max="1032" width="18.4285714285714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8.4285714285714" style="56" customWidth="1"/>
    <col min="1282" max="1282" width="50.7142857142857" style="56" customWidth="1"/>
    <col min="1283" max="1283" width="20.1428571428571" style="56" customWidth="1"/>
    <col min="1284" max="1285" width="17.7142857142857" style="56" customWidth="1"/>
    <col min="1286" max="1286" width="16.5714285714286" style="56" customWidth="1"/>
    <col min="1287" max="1287" width="15.7142857142857" style="56" customWidth="1"/>
    <col min="1288" max="1288" width="18.4285714285714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8.4285714285714" style="56" customWidth="1"/>
    <col min="1538" max="1538" width="50.7142857142857" style="56" customWidth="1"/>
    <col min="1539" max="1539" width="20.1428571428571" style="56" customWidth="1"/>
    <col min="1540" max="1541" width="17.7142857142857" style="56" customWidth="1"/>
    <col min="1542" max="1542" width="16.5714285714286" style="56" customWidth="1"/>
    <col min="1543" max="1543" width="15.7142857142857" style="56" customWidth="1"/>
    <col min="1544" max="1544" width="18.4285714285714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8.4285714285714" style="56" customWidth="1"/>
    <col min="1794" max="1794" width="50.7142857142857" style="56" customWidth="1"/>
    <col min="1795" max="1795" width="20.1428571428571" style="56" customWidth="1"/>
    <col min="1796" max="1797" width="17.7142857142857" style="56" customWidth="1"/>
    <col min="1798" max="1798" width="16.5714285714286" style="56" customWidth="1"/>
    <col min="1799" max="1799" width="15.7142857142857" style="56" customWidth="1"/>
    <col min="1800" max="1800" width="18.4285714285714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8.4285714285714" style="56" customWidth="1"/>
    <col min="2050" max="2050" width="50.7142857142857" style="56" customWidth="1"/>
    <col min="2051" max="2051" width="20.1428571428571" style="56" customWidth="1"/>
    <col min="2052" max="2053" width="17.7142857142857" style="56" customWidth="1"/>
    <col min="2054" max="2054" width="16.5714285714286" style="56" customWidth="1"/>
    <col min="2055" max="2055" width="15.7142857142857" style="56" customWidth="1"/>
    <col min="2056" max="2056" width="18.4285714285714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8.4285714285714" style="56" customWidth="1"/>
    <col min="2306" max="2306" width="50.7142857142857" style="56" customWidth="1"/>
    <col min="2307" max="2307" width="20.1428571428571" style="56" customWidth="1"/>
    <col min="2308" max="2309" width="17.7142857142857" style="56" customWidth="1"/>
    <col min="2310" max="2310" width="16.5714285714286" style="56" customWidth="1"/>
    <col min="2311" max="2311" width="15.7142857142857" style="56" customWidth="1"/>
    <col min="2312" max="2312" width="18.4285714285714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8.4285714285714" style="56" customWidth="1"/>
    <col min="2562" max="2562" width="50.7142857142857" style="56" customWidth="1"/>
    <col min="2563" max="2563" width="20.1428571428571" style="56" customWidth="1"/>
    <col min="2564" max="2565" width="17.7142857142857" style="56" customWidth="1"/>
    <col min="2566" max="2566" width="16.5714285714286" style="56" customWidth="1"/>
    <col min="2567" max="2567" width="15.7142857142857" style="56" customWidth="1"/>
    <col min="2568" max="2568" width="18.4285714285714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8.4285714285714" style="56" customWidth="1"/>
    <col min="2818" max="2818" width="50.7142857142857" style="56" customWidth="1"/>
    <col min="2819" max="2819" width="20.1428571428571" style="56" customWidth="1"/>
    <col min="2820" max="2821" width="17.7142857142857" style="56" customWidth="1"/>
    <col min="2822" max="2822" width="16.5714285714286" style="56" customWidth="1"/>
    <col min="2823" max="2823" width="15.7142857142857" style="56" customWidth="1"/>
    <col min="2824" max="2824" width="18.4285714285714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8.4285714285714" style="56" customWidth="1"/>
    <col min="3074" max="3074" width="50.7142857142857" style="56" customWidth="1"/>
    <col min="3075" max="3075" width="20.1428571428571" style="56" customWidth="1"/>
    <col min="3076" max="3077" width="17.7142857142857" style="56" customWidth="1"/>
    <col min="3078" max="3078" width="16.5714285714286" style="56" customWidth="1"/>
    <col min="3079" max="3079" width="15.7142857142857" style="56" customWidth="1"/>
    <col min="3080" max="3080" width="18.4285714285714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8.4285714285714" style="56" customWidth="1"/>
    <col min="3330" max="3330" width="50.7142857142857" style="56" customWidth="1"/>
    <col min="3331" max="3331" width="20.1428571428571" style="56" customWidth="1"/>
    <col min="3332" max="3333" width="17.7142857142857" style="56" customWidth="1"/>
    <col min="3334" max="3334" width="16.5714285714286" style="56" customWidth="1"/>
    <col min="3335" max="3335" width="15.7142857142857" style="56" customWidth="1"/>
    <col min="3336" max="3336" width="18.4285714285714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8.4285714285714" style="56" customWidth="1"/>
    <col min="3586" max="3586" width="50.7142857142857" style="56" customWidth="1"/>
    <col min="3587" max="3587" width="20.1428571428571" style="56" customWidth="1"/>
    <col min="3588" max="3589" width="17.7142857142857" style="56" customWidth="1"/>
    <col min="3590" max="3590" width="16.5714285714286" style="56" customWidth="1"/>
    <col min="3591" max="3591" width="15.7142857142857" style="56" customWidth="1"/>
    <col min="3592" max="3592" width="18.4285714285714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8.4285714285714" style="56" customWidth="1"/>
    <col min="3842" max="3842" width="50.7142857142857" style="56" customWidth="1"/>
    <col min="3843" max="3843" width="20.1428571428571" style="56" customWidth="1"/>
    <col min="3844" max="3845" width="17.7142857142857" style="56" customWidth="1"/>
    <col min="3846" max="3846" width="16.5714285714286" style="56" customWidth="1"/>
    <col min="3847" max="3847" width="15.7142857142857" style="56" customWidth="1"/>
    <col min="3848" max="3848" width="18.4285714285714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8.4285714285714" style="56" customWidth="1"/>
    <col min="4098" max="4098" width="50.7142857142857" style="56" customWidth="1"/>
    <col min="4099" max="4099" width="20.1428571428571" style="56" customWidth="1"/>
    <col min="4100" max="4101" width="17.7142857142857" style="56" customWidth="1"/>
    <col min="4102" max="4102" width="16.5714285714286" style="56" customWidth="1"/>
    <col min="4103" max="4103" width="15.7142857142857" style="56" customWidth="1"/>
    <col min="4104" max="4104" width="18.4285714285714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8.4285714285714" style="56" customWidth="1"/>
    <col min="4354" max="4354" width="50.7142857142857" style="56" customWidth="1"/>
    <col min="4355" max="4355" width="20.1428571428571" style="56" customWidth="1"/>
    <col min="4356" max="4357" width="17.7142857142857" style="56" customWidth="1"/>
    <col min="4358" max="4358" width="16.5714285714286" style="56" customWidth="1"/>
    <col min="4359" max="4359" width="15.7142857142857" style="56" customWidth="1"/>
    <col min="4360" max="4360" width="18.4285714285714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8.4285714285714" style="56" customWidth="1"/>
    <col min="4610" max="4610" width="50.7142857142857" style="56" customWidth="1"/>
    <col min="4611" max="4611" width="20.1428571428571" style="56" customWidth="1"/>
    <col min="4612" max="4613" width="17.7142857142857" style="56" customWidth="1"/>
    <col min="4614" max="4614" width="16.5714285714286" style="56" customWidth="1"/>
    <col min="4615" max="4615" width="15.7142857142857" style="56" customWidth="1"/>
    <col min="4616" max="4616" width="18.4285714285714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8.4285714285714" style="56" customWidth="1"/>
    <col min="4866" max="4866" width="50.7142857142857" style="56" customWidth="1"/>
    <col min="4867" max="4867" width="20.1428571428571" style="56" customWidth="1"/>
    <col min="4868" max="4869" width="17.7142857142857" style="56" customWidth="1"/>
    <col min="4870" max="4870" width="16.5714285714286" style="56" customWidth="1"/>
    <col min="4871" max="4871" width="15.7142857142857" style="56" customWidth="1"/>
    <col min="4872" max="4872" width="18.4285714285714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8.4285714285714" style="56" customWidth="1"/>
    <col min="5122" max="5122" width="50.7142857142857" style="56" customWidth="1"/>
    <col min="5123" max="5123" width="20.1428571428571" style="56" customWidth="1"/>
    <col min="5124" max="5125" width="17.7142857142857" style="56" customWidth="1"/>
    <col min="5126" max="5126" width="16.5714285714286" style="56" customWidth="1"/>
    <col min="5127" max="5127" width="15.7142857142857" style="56" customWidth="1"/>
    <col min="5128" max="5128" width="18.4285714285714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8.4285714285714" style="56" customWidth="1"/>
    <col min="5378" max="5378" width="50.7142857142857" style="56" customWidth="1"/>
    <col min="5379" max="5379" width="20.1428571428571" style="56" customWidth="1"/>
    <col min="5380" max="5381" width="17.7142857142857" style="56" customWidth="1"/>
    <col min="5382" max="5382" width="16.5714285714286" style="56" customWidth="1"/>
    <col min="5383" max="5383" width="15.7142857142857" style="56" customWidth="1"/>
    <col min="5384" max="5384" width="18.4285714285714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8.4285714285714" style="56" customWidth="1"/>
    <col min="5634" max="5634" width="50.7142857142857" style="56" customWidth="1"/>
    <col min="5635" max="5635" width="20.1428571428571" style="56" customWidth="1"/>
    <col min="5636" max="5637" width="17.7142857142857" style="56" customWidth="1"/>
    <col min="5638" max="5638" width="16.5714285714286" style="56" customWidth="1"/>
    <col min="5639" max="5639" width="15.7142857142857" style="56" customWidth="1"/>
    <col min="5640" max="5640" width="18.4285714285714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8.4285714285714" style="56" customWidth="1"/>
    <col min="5890" max="5890" width="50.7142857142857" style="56" customWidth="1"/>
    <col min="5891" max="5891" width="20.1428571428571" style="56" customWidth="1"/>
    <col min="5892" max="5893" width="17.7142857142857" style="56" customWidth="1"/>
    <col min="5894" max="5894" width="16.5714285714286" style="56" customWidth="1"/>
    <col min="5895" max="5895" width="15.7142857142857" style="56" customWidth="1"/>
    <col min="5896" max="5896" width="18.4285714285714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8.4285714285714" style="56" customWidth="1"/>
    <col min="6146" max="6146" width="50.7142857142857" style="56" customWidth="1"/>
    <col min="6147" max="6147" width="20.1428571428571" style="56" customWidth="1"/>
    <col min="6148" max="6149" width="17.7142857142857" style="56" customWidth="1"/>
    <col min="6150" max="6150" width="16.5714285714286" style="56" customWidth="1"/>
    <col min="6151" max="6151" width="15.7142857142857" style="56" customWidth="1"/>
    <col min="6152" max="6152" width="18.4285714285714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8.4285714285714" style="56" customWidth="1"/>
    <col min="6402" max="6402" width="50.7142857142857" style="56" customWidth="1"/>
    <col min="6403" max="6403" width="20.1428571428571" style="56" customWidth="1"/>
    <col min="6404" max="6405" width="17.7142857142857" style="56" customWidth="1"/>
    <col min="6406" max="6406" width="16.5714285714286" style="56" customWidth="1"/>
    <col min="6407" max="6407" width="15.7142857142857" style="56" customWidth="1"/>
    <col min="6408" max="6408" width="18.4285714285714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8.4285714285714" style="56" customWidth="1"/>
    <col min="6658" max="6658" width="50.7142857142857" style="56" customWidth="1"/>
    <col min="6659" max="6659" width="20.1428571428571" style="56" customWidth="1"/>
    <col min="6660" max="6661" width="17.7142857142857" style="56" customWidth="1"/>
    <col min="6662" max="6662" width="16.5714285714286" style="56" customWidth="1"/>
    <col min="6663" max="6663" width="15.7142857142857" style="56" customWidth="1"/>
    <col min="6664" max="6664" width="18.4285714285714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8.4285714285714" style="56" customWidth="1"/>
    <col min="6914" max="6914" width="50.7142857142857" style="56" customWidth="1"/>
    <col min="6915" max="6915" width="20.1428571428571" style="56" customWidth="1"/>
    <col min="6916" max="6917" width="17.7142857142857" style="56" customWidth="1"/>
    <col min="6918" max="6918" width="16.5714285714286" style="56" customWidth="1"/>
    <col min="6919" max="6919" width="15.7142857142857" style="56" customWidth="1"/>
    <col min="6920" max="6920" width="18.4285714285714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8.4285714285714" style="56" customWidth="1"/>
    <col min="7170" max="7170" width="50.7142857142857" style="56" customWidth="1"/>
    <col min="7171" max="7171" width="20.1428571428571" style="56" customWidth="1"/>
    <col min="7172" max="7173" width="17.7142857142857" style="56" customWidth="1"/>
    <col min="7174" max="7174" width="16.5714285714286" style="56" customWidth="1"/>
    <col min="7175" max="7175" width="15.7142857142857" style="56" customWidth="1"/>
    <col min="7176" max="7176" width="18.4285714285714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8.4285714285714" style="56" customWidth="1"/>
    <col min="7426" max="7426" width="50.7142857142857" style="56" customWidth="1"/>
    <col min="7427" max="7427" width="20.1428571428571" style="56" customWidth="1"/>
    <col min="7428" max="7429" width="17.7142857142857" style="56" customWidth="1"/>
    <col min="7430" max="7430" width="16.5714285714286" style="56" customWidth="1"/>
    <col min="7431" max="7431" width="15.7142857142857" style="56" customWidth="1"/>
    <col min="7432" max="7432" width="18.4285714285714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8.4285714285714" style="56" customWidth="1"/>
    <col min="7682" max="7682" width="50.7142857142857" style="56" customWidth="1"/>
    <col min="7683" max="7683" width="20.1428571428571" style="56" customWidth="1"/>
    <col min="7684" max="7685" width="17.7142857142857" style="56" customWidth="1"/>
    <col min="7686" max="7686" width="16.5714285714286" style="56" customWidth="1"/>
    <col min="7687" max="7687" width="15.7142857142857" style="56" customWidth="1"/>
    <col min="7688" max="7688" width="18.4285714285714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8.4285714285714" style="56" customWidth="1"/>
    <col min="7938" max="7938" width="50.7142857142857" style="56" customWidth="1"/>
    <col min="7939" max="7939" width="20.1428571428571" style="56" customWidth="1"/>
    <col min="7940" max="7941" width="17.7142857142857" style="56" customWidth="1"/>
    <col min="7942" max="7942" width="16.5714285714286" style="56" customWidth="1"/>
    <col min="7943" max="7943" width="15.7142857142857" style="56" customWidth="1"/>
    <col min="7944" max="7944" width="18.4285714285714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8.4285714285714" style="56" customWidth="1"/>
    <col min="8194" max="8194" width="50.7142857142857" style="56" customWidth="1"/>
    <col min="8195" max="8195" width="20.1428571428571" style="56" customWidth="1"/>
    <col min="8196" max="8197" width="17.7142857142857" style="56" customWidth="1"/>
    <col min="8198" max="8198" width="16.5714285714286" style="56" customWidth="1"/>
    <col min="8199" max="8199" width="15.7142857142857" style="56" customWidth="1"/>
    <col min="8200" max="8200" width="18.4285714285714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8.4285714285714" style="56" customWidth="1"/>
    <col min="8450" max="8450" width="50.7142857142857" style="56" customWidth="1"/>
    <col min="8451" max="8451" width="20.1428571428571" style="56" customWidth="1"/>
    <col min="8452" max="8453" width="17.7142857142857" style="56" customWidth="1"/>
    <col min="8454" max="8454" width="16.5714285714286" style="56" customWidth="1"/>
    <col min="8455" max="8455" width="15.7142857142857" style="56" customWidth="1"/>
    <col min="8456" max="8456" width="18.4285714285714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8.4285714285714" style="56" customWidth="1"/>
    <col min="8706" max="8706" width="50.7142857142857" style="56" customWidth="1"/>
    <col min="8707" max="8707" width="20.1428571428571" style="56" customWidth="1"/>
    <col min="8708" max="8709" width="17.7142857142857" style="56" customWidth="1"/>
    <col min="8710" max="8710" width="16.5714285714286" style="56" customWidth="1"/>
    <col min="8711" max="8711" width="15.7142857142857" style="56" customWidth="1"/>
    <col min="8712" max="8712" width="18.4285714285714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8.4285714285714" style="56" customWidth="1"/>
    <col min="8962" max="8962" width="50.7142857142857" style="56" customWidth="1"/>
    <col min="8963" max="8963" width="20.1428571428571" style="56" customWidth="1"/>
    <col min="8964" max="8965" width="17.7142857142857" style="56" customWidth="1"/>
    <col min="8966" max="8966" width="16.5714285714286" style="56" customWidth="1"/>
    <col min="8967" max="8967" width="15.7142857142857" style="56" customWidth="1"/>
    <col min="8968" max="8968" width="18.4285714285714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8.4285714285714" style="56" customWidth="1"/>
    <col min="9218" max="9218" width="50.7142857142857" style="56" customWidth="1"/>
    <col min="9219" max="9219" width="20.1428571428571" style="56" customWidth="1"/>
    <col min="9220" max="9221" width="17.7142857142857" style="56" customWidth="1"/>
    <col min="9222" max="9222" width="16.5714285714286" style="56" customWidth="1"/>
    <col min="9223" max="9223" width="15.7142857142857" style="56" customWidth="1"/>
    <col min="9224" max="9224" width="18.4285714285714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8.4285714285714" style="56" customWidth="1"/>
    <col min="9474" max="9474" width="50.7142857142857" style="56" customWidth="1"/>
    <col min="9475" max="9475" width="20.1428571428571" style="56" customWidth="1"/>
    <col min="9476" max="9477" width="17.7142857142857" style="56" customWidth="1"/>
    <col min="9478" max="9478" width="16.5714285714286" style="56" customWidth="1"/>
    <col min="9479" max="9479" width="15.7142857142857" style="56" customWidth="1"/>
    <col min="9480" max="9480" width="18.4285714285714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8.4285714285714" style="56" customWidth="1"/>
    <col min="9730" max="9730" width="50.7142857142857" style="56" customWidth="1"/>
    <col min="9731" max="9731" width="20.1428571428571" style="56" customWidth="1"/>
    <col min="9732" max="9733" width="17.7142857142857" style="56" customWidth="1"/>
    <col min="9734" max="9734" width="16.5714285714286" style="56" customWidth="1"/>
    <col min="9735" max="9735" width="15.7142857142857" style="56" customWidth="1"/>
    <col min="9736" max="9736" width="18.4285714285714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8.4285714285714" style="56" customWidth="1"/>
    <col min="9986" max="9986" width="50.7142857142857" style="56" customWidth="1"/>
    <col min="9987" max="9987" width="20.1428571428571" style="56" customWidth="1"/>
    <col min="9988" max="9989" width="17.7142857142857" style="56" customWidth="1"/>
    <col min="9990" max="9990" width="16.5714285714286" style="56" customWidth="1"/>
    <col min="9991" max="9991" width="15.7142857142857" style="56" customWidth="1"/>
    <col min="9992" max="9992" width="18.4285714285714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8.4285714285714" style="56" customWidth="1"/>
    <col min="10242" max="10242" width="50.7142857142857" style="56" customWidth="1"/>
    <col min="10243" max="10243" width="20.1428571428571" style="56" customWidth="1"/>
    <col min="10244" max="10245" width="17.7142857142857" style="56" customWidth="1"/>
    <col min="10246" max="10246" width="16.5714285714286" style="56" customWidth="1"/>
    <col min="10247" max="10247" width="15.7142857142857" style="56" customWidth="1"/>
    <col min="10248" max="10248" width="18.4285714285714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8.4285714285714" style="56" customWidth="1"/>
    <col min="10498" max="10498" width="50.7142857142857" style="56" customWidth="1"/>
    <col min="10499" max="10499" width="20.1428571428571" style="56" customWidth="1"/>
    <col min="10500" max="10501" width="17.7142857142857" style="56" customWidth="1"/>
    <col min="10502" max="10502" width="16.5714285714286" style="56" customWidth="1"/>
    <col min="10503" max="10503" width="15.7142857142857" style="56" customWidth="1"/>
    <col min="10504" max="10504" width="18.4285714285714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8.4285714285714" style="56" customWidth="1"/>
    <col min="10754" max="10754" width="50.7142857142857" style="56" customWidth="1"/>
    <col min="10755" max="10755" width="20.1428571428571" style="56" customWidth="1"/>
    <col min="10756" max="10757" width="17.7142857142857" style="56" customWidth="1"/>
    <col min="10758" max="10758" width="16.5714285714286" style="56" customWidth="1"/>
    <col min="10759" max="10759" width="15.7142857142857" style="56" customWidth="1"/>
    <col min="10760" max="10760" width="18.4285714285714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8.4285714285714" style="56" customWidth="1"/>
    <col min="11010" max="11010" width="50.7142857142857" style="56" customWidth="1"/>
    <col min="11011" max="11011" width="20.1428571428571" style="56" customWidth="1"/>
    <col min="11012" max="11013" width="17.7142857142857" style="56" customWidth="1"/>
    <col min="11014" max="11014" width="16.5714285714286" style="56" customWidth="1"/>
    <col min="11015" max="11015" width="15.7142857142857" style="56" customWidth="1"/>
    <col min="11016" max="11016" width="18.4285714285714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8.4285714285714" style="56" customWidth="1"/>
    <col min="11266" max="11266" width="50.7142857142857" style="56" customWidth="1"/>
    <col min="11267" max="11267" width="20.1428571428571" style="56" customWidth="1"/>
    <col min="11268" max="11269" width="17.7142857142857" style="56" customWidth="1"/>
    <col min="11270" max="11270" width="16.5714285714286" style="56" customWidth="1"/>
    <col min="11271" max="11271" width="15.7142857142857" style="56" customWidth="1"/>
    <col min="11272" max="11272" width="18.4285714285714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8.4285714285714" style="56" customWidth="1"/>
    <col min="11522" max="11522" width="50.7142857142857" style="56" customWidth="1"/>
    <col min="11523" max="11523" width="20.1428571428571" style="56" customWidth="1"/>
    <col min="11524" max="11525" width="17.7142857142857" style="56" customWidth="1"/>
    <col min="11526" max="11526" width="16.5714285714286" style="56" customWidth="1"/>
    <col min="11527" max="11527" width="15.7142857142857" style="56" customWidth="1"/>
    <col min="11528" max="11528" width="18.4285714285714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8.4285714285714" style="56" customWidth="1"/>
    <col min="11778" max="11778" width="50.7142857142857" style="56" customWidth="1"/>
    <col min="11779" max="11779" width="20.1428571428571" style="56" customWidth="1"/>
    <col min="11780" max="11781" width="17.7142857142857" style="56" customWidth="1"/>
    <col min="11782" max="11782" width="16.5714285714286" style="56" customWidth="1"/>
    <col min="11783" max="11783" width="15.7142857142857" style="56" customWidth="1"/>
    <col min="11784" max="11784" width="18.4285714285714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8.4285714285714" style="56" customWidth="1"/>
    <col min="12034" max="12034" width="50.7142857142857" style="56" customWidth="1"/>
    <col min="12035" max="12035" width="20.1428571428571" style="56" customWidth="1"/>
    <col min="12036" max="12037" width="17.7142857142857" style="56" customWidth="1"/>
    <col min="12038" max="12038" width="16.5714285714286" style="56" customWidth="1"/>
    <col min="12039" max="12039" width="15.7142857142857" style="56" customWidth="1"/>
    <col min="12040" max="12040" width="18.4285714285714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8.4285714285714" style="56" customWidth="1"/>
    <col min="12290" max="12290" width="50.7142857142857" style="56" customWidth="1"/>
    <col min="12291" max="12291" width="20.1428571428571" style="56" customWidth="1"/>
    <col min="12292" max="12293" width="17.7142857142857" style="56" customWidth="1"/>
    <col min="12294" max="12294" width="16.5714285714286" style="56" customWidth="1"/>
    <col min="12295" max="12295" width="15.7142857142857" style="56" customWidth="1"/>
    <col min="12296" max="12296" width="18.4285714285714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8.4285714285714" style="56" customWidth="1"/>
    <col min="12546" max="12546" width="50.7142857142857" style="56" customWidth="1"/>
    <col min="12547" max="12547" width="20.1428571428571" style="56" customWidth="1"/>
    <col min="12548" max="12549" width="17.7142857142857" style="56" customWidth="1"/>
    <col min="12550" max="12550" width="16.5714285714286" style="56" customWidth="1"/>
    <col min="12551" max="12551" width="15.7142857142857" style="56" customWidth="1"/>
    <col min="12552" max="12552" width="18.4285714285714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8.4285714285714" style="56" customWidth="1"/>
    <col min="12802" max="12802" width="50.7142857142857" style="56" customWidth="1"/>
    <col min="12803" max="12803" width="20.1428571428571" style="56" customWidth="1"/>
    <col min="12804" max="12805" width="17.7142857142857" style="56" customWidth="1"/>
    <col min="12806" max="12806" width="16.5714285714286" style="56" customWidth="1"/>
    <col min="12807" max="12807" width="15.7142857142857" style="56" customWidth="1"/>
    <col min="12808" max="12808" width="18.4285714285714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8.4285714285714" style="56" customWidth="1"/>
    <col min="13058" max="13058" width="50.7142857142857" style="56" customWidth="1"/>
    <col min="13059" max="13059" width="20.1428571428571" style="56" customWidth="1"/>
    <col min="13060" max="13061" width="17.7142857142857" style="56" customWidth="1"/>
    <col min="13062" max="13062" width="16.5714285714286" style="56" customWidth="1"/>
    <col min="13063" max="13063" width="15.7142857142857" style="56" customWidth="1"/>
    <col min="13064" max="13064" width="18.4285714285714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8.4285714285714" style="56" customWidth="1"/>
    <col min="13314" max="13314" width="50.7142857142857" style="56" customWidth="1"/>
    <col min="13315" max="13315" width="20.1428571428571" style="56" customWidth="1"/>
    <col min="13316" max="13317" width="17.7142857142857" style="56" customWidth="1"/>
    <col min="13318" max="13318" width="16.5714285714286" style="56" customWidth="1"/>
    <col min="13319" max="13319" width="15.7142857142857" style="56" customWidth="1"/>
    <col min="13320" max="13320" width="18.4285714285714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8.4285714285714" style="56" customWidth="1"/>
    <col min="13570" max="13570" width="50.7142857142857" style="56" customWidth="1"/>
    <col min="13571" max="13571" width="20.1428571428571" style="56" customWidth="1"/>
    <col min="13572" max="13573" width="17.7142857142857" style="56" customWidth="1"/>
    <col min="13574" max="13574" width="16.5714285714286" style="56" customWidth="1"/>
    <col min="13575" max="13575" width="15.7142857142857" style="56" customWidth="1"/>
    <col min="13576" max="13576" width="18.4285714285714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8.4285714285714" style="56" customWidth="1"/>
    <col min="13826" max="13826" width="50.7142857142857" style="56" customWidth="1"/>
    <col min="13827" max="13827" width="20.1428571428571" style="56" customWidth="1"/>
    <col min="13828" max="13829" width="17.7142857142857" style="56" customWidth="1"/>
    <col min="13830" max="13830" width="16.5714285714286" style="56" customWidth="1"/>
    <col min="13831" max="13831" width="15.7142857142857" style="56" customWidth="1"/>
    <col min="13832" max="13832" width="18.4285714285714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8.4285714285714" style="56" customWidth="1"/>
    <col min="14082" max="14082" width="50.7142857142857" style="56" customWidth="1"/>
    <col min="14083" max="14083" width="20.1428571428571" style="56" customWidth="1"/>
    <col min="14084" max="14085" width="17.7142857142857" style="56" customWidth="1"/>
    <col min="14086" max="14086" width="16.5714285714286" style="56" customWidth="1"/>
    <col min="14087" max="14087" width="15.7142857142857" style="56" customWidth="1"/>
    <col min="14088" max="14088" width="18.4285714285714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8.4285714285714" style="56" customWidth="1"/>
    <col min="14338" max="14338" width="50.7142857142857" style="56" customWidth="1"/>
    <col min="14339" max="14339" width="20.1428571428571" style="56" customWidth="1"/>
    <col min="14340" max="14341" width="17.7142857142857" style="56" customWidth="1"/>
    <col min="14342" max="14342" width="16.5714285714286" style="56" customWidth="1"/>
    <col min="14343" max="14343" width="15.7142857142857" style="56" customWidth="1"/>
    <col min="14344" max="14344" width="18.4285714285714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8.4285714285714" style="56" customWidth="1"/>
    <col min="14594" max="14594" width="50.7142857142857" style="56" customWidth="1"/>
    <col min="14595" max="14595" width="20.1428571428571" style="56" customWidth="1"/>
    <col min="14596" max="14597" width="17.7142857142857" style="56" customWidth="1"/>
    <col min="14598" max="14598" width="16.5714285714286" style="56" customWidth="1"/>
    <col min="14599" max="14599" width="15.7142857142857" style="56" customWidth="1"/>
    <col min="14600" max="14600" width="18.4285714285714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8.4285714285714" style="56" customWidth="1"/>
    <col min="14850" max="14850" width="50.7142857142857" style="56" customWidth="1"/>
    <col min="14851" max="14851" width="20.1428571428571" style="56" customWidth="1"/>
    <col min="14852" max="14853" width="17.7142857142857" style="56" customWidth="1"/>
    <col min="14854" max="14854" width="16.5714285714286" style="56" customWidth="1"/>
    <col min="14855" max="14855" width="15.7142857142857" style="56" customWidth="1"/>
    <col min="14856" max="14856" width="18.4285714285714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8.4285714285714" style="56" customWidth="1"/>
    <col min="15106" max="15106" width="50.7142857142857" style="56" customWidth="1"/>
    <col min="15107" max="15107" width="20.1428571428571" style="56" customWidth="1"/>
    <col min="15108" max="15109" width="17.7142857142857" style="56" customWidth="1"/>
    <col min="15110" max="15110" width="16.5714285714286" style="56" customWidth="1"/>
    <col min="15111" max="15111" width="15.7142857142857" style="56" customWidth="1"/>
    <col min="15112" max="15112" width="18.4285714285714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8.4285714285714" style="56" customWidth="1"/>
    <col min="15362" max="15362" width="50.7142857142857" style="56" customWidth="1"/>
    <col min="15363" max="15363" width="20.1428571428571" style="56" customWidth="1"/>
    <col min="15364" max="15365" width="17.7142857142857" style="56" customWidth="1"/>
    <col min="15366" max="15366" width="16.5714285714286" style="56" customWidth="1"/>
    <col min="15367" max="15367" width="15.7142857142857" style="56" customWidth="1"/>
    <col min="15368" max="15368" width="18.4285714285714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8.4285714285714" style="56" customWidth="1"/>
    <col min="15618" max="15618" width="50.7142857142857" style="56" customWidth="1"/>
    <col min="15619" max="15619" width="20.1428571428571" style="56" customWidth="1"/>
    <col min="15620" max="15621" width="17.7142857142857" style="56" customWidth="1"/>
    <col min="15622" max="15622" width="16.5714285714286" style="56" customWidth="1"/>
    <col min="15623" max="15623" width="15.7142857142857" style="56" customWidth="1"/>
    <col min="15624" max="15624" width="18.4285714285714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8.4285714285714" style="56" customWidth="1"/>
    <col min="15874" max="15874" width="50.7142857142857" style="56" customWidth="1"/>
    <col min="15875" max="15875" width="20.1428571428571" style="56" customWidth="1"/>
    <col min="15876" max="15877" width="17.7142857142857" style="56" customWidth="1"/>
    <col min="15878" max="15878" width="16.5714285714286" style="56" customWidth="1"/>
    <col min="15879" max="15879" width="15.7142857142857" style="56" customWidth="1"/>
    <col min="15880" max="15880" width="18.4285714285714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8.4285714285714" style="56" customWidth="1"/>
    <col min="16130" max="16130" width="50.7142857142857" style="56" customWidth="1"/>
    <col min="16131" max="16131" width="20.1428571428571" style="56" customWidth="1"/>
    <col min="16132" max="16133" width="17.7142857142857" style="56" customWidth="1"/>
    <col min="16134" max="16134" width="16.5714285714286" style="56" customWidth="1"/>
    <col min="16135" max="16135" width="15.7142857142857" style="56" customWidth="1"/>
    <col min="16136" max="16136" width="18.4285714285714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18" hidden="1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80"/>
      <c r="M1" s="80"/>
      <c r="N1" s="80"/>
      <c r="O1" s="80"/>
    </row>
    <row r="2" ht="15.75" hidden="1" customHeight="1" spans="1: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80"/>
      <c r="M2" s="80"/>
      <c r="N2" s="80"/>
      <c r="O2" s="80"/>
    </row>
    <row r="3" ht="18" hidden="1" customHeight="1" spans="1:15">
      <c r="A3" s="60"/>
      <c r="B3" s="60"/>
      <c r="C3" s="60"/>
      <c r="D3" s="60"/>
      <c r="E3" s="60"/>
      <c r="F3" s="60"/>
      <c r="G3" s="60"/>
      <c r="H3" s="60"/>
      <c r="I3" s="81"/>
      <c r="J3" s="81"/>
      <c r="K3" s="81"/>
      <c r="L3" s="80"/>
      <c r="M3" s="80"/>
      <c r="N3" s="80"/>
      <c r="O3" s="80"/>
    </row>
    <row r="4" ht="18" spans="1:15">
      <c r="A4" s="60"/>
      <c r="B4" s="60"/>
      <c r="C4" s="60"/>
      <c r="D4" s="60"/>
      <c r="E4" s="60"/>
      <c r="F4" s="60"/>
      <c r="G4" s="60"/>
      <c r="H4" s="60"/>
      <c r="I4" s="81"/>
      <c r="J4" s="81"/>
      <c r="K4" s="81"/>
      <c r="L4" s="80"/>
      <c r="M4" s="80"/>
      <c r="N4" s="80"/>
      <c r="O4" s="80"/>
    </row>
    <row r="5" ht="15.75" customHeight="1" spans="1:15">
      <c r="A5" s="61" t="s">
        <v>516</v>
      </c>
      <c r="B5" s="61"/>
      <c r="C5" s="61"/>
      <c r="D5" s="61"/>
      <c r="E5" s="61"/>
      <c r="F5" s="61"/>
      <c r="G5" s="61"/>
      <c r="H5" s="61"/>
      <c r="I5" s="82"/>
      <c r="J5" s="82"/>
      <c r="K5" s="82"/>
      <c r="L5" s="80"/>
      <c r="M5" s="80"/>
      <c r="N5" s="80"/>
      <c r="O5" s="80"/>
    </row>
    <row r="6" ht="18" spans="1:15">
      <c r="A6" s="60"/>
      <c r="B6" s="60"/>
      <c r="C6" s="60"/>
      <c r="D6" s="60"/>
      <c r="E6" s="60"/>
      <c r="F6" s="60"/>
      <c r="G6" s="60"/>
      <c r="H6" s="60"/>
      <c r="I6" s="81"/>
      <c r="J6" s="81"/>
      <c r="K6" s="81"/>
      <c r="L6" s="80"/>
      <c r="M6" s="80"/>
      <c r="N6" s="80"/>
      <c r="O6" s="80"/>
    </row>
    <row r="7" s="54" customFormat="1" ht="57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83"/>
      <c r="J7" s="83"/>
      <c r="K7" s="83"/>
      <c r="L7" s="83"/>
      <c r="M7" s="83"/>
      <c r="N7" s="83"/>
      <c r="O7" s="83"/>
    </row>
    <row r="8" s="55" customForma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84"/>
      <c r="J8" s="84"/>
      <c r="K8" s="84"/>
      <c r="L8" s="84"/>
      <c r="M8" s="85"/>
      <c r="N8" s="85"/>
      <c r="O8" s="85"/>
    </row>
    <row r="9" ht="15" customHeight="1" spans="1:15">
      <c r="A9" s="213" t="s">
        <v>517</v>
      </c>
      <c r="B9" s="213" t="s">
        <v>40</v>
      </c>
      <c r="C9" s="214" t="s">
        <v>41</v>
      </c>
      <c r="D9" s="214" t="s">
        <v>41</v>
      </c>
      <c r="E9" s="214" t="s">
        <v>41</v>
      </c>
      <c r="F9" s="214" t="s">
        <v>41</v>
      </c>
      <c r="G9" s="214" t="s">
        <v>40</v>
      </c>
      <c r="H9" s="214" t="s">
        <v>40</v>
      </c>
      <c r="I9" s="100"/>
      <c r="J9" s="100"/>
      <c r="K9" s="100"/>
      <c r="L9" s="100"/>
      <c r="M9" s="101"/>
      <c r="N9" s="101"/>
      <c r="O9" s="101"/>
    </row>
    <row r="10" spans="1:15">
      <c r="A10" s="229" t="s">
        <v>502</v>
      </c>
      <c r="B10" s="230" t="s">
        <v>518</v>
      </c>
      <c r="C10" s="92">
        <f>+C11+C14</f>
        <v>0</v>
      </c>
      <c r="D10" s="93">
        <f>+D11+D14</f>
        <v>0</v>
      </c>
      <c r="E10" s="93">
        <f>+E11+E14</f>
        <v>0</v>
      </c>
      <c r="F10" s="92">
        <f>+F11+F14</f>
        <v>0</v>
      </c>
      <c r="G10" s="94" t="e">
        <f t="shared" ref="G10" si="0">+F10/C10*100</f>
        <v>#DIV/0!</v>
      </c>
      <c r="H10" s="94" t="e">
        <f t="shared" ref="H10" si="1">+F10/E10*100</f>
        <v>#DIV/0!</v>
      </c>
      <c r="I10" s="102"/>
      <c r="J10" s="102"/>
      <c r="K10" s="102"/>
      <c r="L10" s="102"/>
      <c r="M10" s="103"/>
      <c r="N10" s="103"/>
      <c r="O10" s="103"/>
    </row>
    <row r="11" spans="1:15">
      <c r="A11" s="231" t="s">
        <v>504</v>
      </c>
      <c r="B11" s="232" t="s">
        <v>519</v>
      </c>
      <c r="C11" s="70">
        <f>+C12</f>
        <v>0</v>
      </c>
      <c r="D11" s="95">
        <v>0</v>
      </c>
      <c r="E11" s="95">
        <v>0</v>
      </c>
      <c r="F11" s="70">
        <f>+F12</f>
        <v>0</v>
      </c>
      <c r="G11" s="70" t="e">
        <f t="shared" ref="G11:G36" si="2">+F11/C11*100</f>
        <v>#DIV/0!</v>
      </c>
      <c r="H11" s="70" t="e">
        <f t="shared" ref="H11:H36" si="3">+F11/E11*100</f>
        <v>#DIV/0!</v>
      </c>
      <c r="I11" s="86"/>
      <c r="J11" s="86"/>
      <c r="K11" s="86"/>
      <c r="L11" s="86"/>
      <c r="M11" s="87"/>
      <c r="N11" s="87"/>
      <c r="O11" s="87"/>
    </row>
    <row r="12" spans="1:15">
      <c r="A12" s="233" t="s">
        <v>520</v>
      </c>
      <c r="B12" s="220" t="s">
        <v>521</v>
      </c>
      <c r="C12" s="74">
        <f>+C13</f>
        <v>0</v>
      </c>
      <c r="D12" s="75"/>
      <c r="E12" s="75"/>
      <c r="F12" s="74">
        <f t="shared" ref="F12" si="4">+F13</f>
        <v>0</v>
      </c>
      <c r="G12" s="96" t="e">
        <f t="shared" si="2"/>
        <v>#DIV/0!</v>
      </c>
      <c r="H12" s="96" t="e">
        <f t="shared" si="3"/>
        <v>#DIV/0!</v>
      </c>
      <c r="I12" s="86"/>
      <c r="J12" s="86"/>
      <c r="K12" s="86"/>
      <c r="L12" s="86"/>
      <c r="M12" s="87"/>
      <c r="N12" s="87"/>
      <c r="O12" s="87"/>
    </row>
    <row r="13" ht="25.5" spans="1:15">
      <c r="A13" s="234" t="s">
        <v>522</v>
      </c>
      <c r="B13" s="222" t="s">
        <v>523</v>
      </c>
      <c r="C13" s="78">
        <v>0</v>
      </c>
      <c r="D13" s="75"/>
      <c r="E13" s="75"/>
      <c r="F13" s="78">
        <v>0</v>
      </c>
      <c r="G13" s="78" t="e">
        <f t="shared" si="2"/>
        <v>#DIV/0!</v>
      </c>
      <c r="H13" s="78" t="e">
        <f t="shared" si="3"/>
        <v>#DIV/0!</v>
      </c>
      <c r="I13" s="86"/>
      <c r="J13" s="86"/>
      <c r="K13" s="86"/>
      <c r="L13" s="86"/>
      <c r="M13" s="87"/>
      <c r="N13" s="87"/>
      <c r="O13" s="87"/>
    </row>
    <row r="14" spans="1:15">
      <c r="A14" s="231" t="s">
        <v>524</v>
      </c>
      <c r="B14" s="232" t="s">
        <v>525</v>
      </c>
      <c r="C14" s="70">
        <f>+C15</f>
        <v>0</v>
      </c>
      <c r="D14" s="95">
        <v>0</v>
      </c>
      <c r="E14" s="95">
        <v>0</v>
      </c>
      <c r="F14" s="70">
        <f>+F15</f>
        <v>0</v>
      </c>
      <c r="G14" s="70" t="e">
        <f t="shared" si="2"/>
        <v>#DIV/0!</v>
      </c>
      <c r="H14" s="70" t="e">
        <f t="shared" si="3"/>
        <v>#DIV/0!</v>
      </c>
      <c r="I14" s="86"/>
      <c r="J14" s="86"/>
      <c r="K14" s="86"/>
      <c r="L14" s="86"/>
      <c r="M14" s="87"/>
      <c r="N14" s="87"/>
      <c r="O14" s="87"/>
    </row>
    <row r="15" ht="25.5" spans="1:15">
      <c r="A15" s="233" t="s">
        <v>526</v>
      </c>
      <c r="B15" s="220" t="s">
        <v>527</v>
      </c>
      <c r="C15" s="74">
        <f>+C16</f>
        <v>0</v>
      </c>
      <c r="D15" s="75"/>
      <c r="E15" s="75"/>
      <c r="F15" s="74">
        <f t="shared" ref="F15" si="5">+F16</f>
        <v>0</v>
      </c>
      <c r="G15" s="96" t="e">
        <f t="shared" si="2"/>
        <v>#DIV/0!</v>
      </c>
      <c r="H15" s="96" t="e">
        <f t="shared" si="3"/>
        <v>#DIV/0!</v>
      </c>
      <c r="I15" s="86"/>
      <c r="J15" s="86"/>
      <c r="K15" s="86"/>
      <c r="L15" s="86"/>
      <c r="M15" s="87"/>
      <c r="N15" s="87"/>
      <c r="O15" s="87"/>
    </row>
    <row r="16" ht="25.5" spans="1:15">
      <c r="A16" s="234" t="s">
        <v>528</v>
      </c>
      <c r="B16" s="222" t="s">
        <v>529</v>
      </c>
      <c r="C16" s="78">
        <v>0</v>
      </c>
      <c r="D16" s="75"/>
      <c r="E16" s="75"/>
      <c r="F16" s="78">
        <v>0</v>
      </c>
      <c r="G16" s="78" t="e">
        <f t="shared" si="2"/>
        <v>#DIV/0!</v>
      </c>
      <c r="H16" s="78" t="e">
        <f t="shared" si="3"/>
        <v>#DIV/0!</v>
      </c>
      <c r="I16" s="86"/>
      <c r="J16" s="86"/>
      <c r="K16" s="86"/>
      <c r="L16" s="86"/>
      <c r="M16" s="87"/>
      <c r="N16" s="87"/>
      <c r="O16" s="87"/>
    </row>
    <row r="17" spans="1:15">
      <c r="A17" s="229" t="s">
        <v>484</v>
      </c>
      <c r="B17" s="230" t="s">
        <v>530</v>
      </c>
      <c r="C17" s="92">
        <f>+C18+C27+C32</f>
        <v>0</v>
      </c>
      <c r="D17" s="93">
        <f>+D18+D27+D32</f>
        <v>0</v>
      </c>
      <c r="E17" s="93">
        <f>+E18+E27+E32</f>
        <v>0</v>
      </c>
      <c r="F17" s="92">
        <f>+F18+F27+F32</f>
        <v>0</v>
      </c>
      <c r="G17" s="94" t="e">
        <f t="shared" si="2"/>
        <v>#DIV/0!</v>
      </c>
      <c r="H17" s="94" t="e">
        <f t="shared" si="3"/>
        <v>#DIV/0!</v>
      </c>
      <c r="I17" s="102"/>
      <c r="J17" s="102"/>
      <c r="K17" s="102"/>
      <c r="L17" s="102"/>
      <c r="M17" s="103"/>
      <c r="N17" s="103"/>
      <c r="O17" s="103"/>
    </row>
    <row r="18" spans="1:15">
      <c r="A18" s="231" t="s">
        <v>486</v>
      </c>
      <c r="B18" s="232" t="s">
        <v>531</v>
      </c>
      <c r="C18" s="98">
        <f>+C19+C22+C24</f>
        <v>0</v>
      </c>
      <c r="D18" s="95">
        <v>0</v>
      </c>
      <c r="E18" s="95">
        <v>0</v>
      </c>
      <c r="F18" s="98">
        <f>+F19+F22+F24</f>
        <v>0</v>
      </c>
      <c r="G18" s="70" t="e">
        <f t="shared" si="2"/>
        <v>#DIV/0!</v>
      </c>
      <c r="H18" s="70" t="e">
        <f t="shared" si="3"/>
        <v>#DIV/0!</v>
      </c>
      <c r="I18" s="86"/>
      <c r="J18" s="86"/>
      <c r="K18" s="86"/>
      <c r="L18" s="86"/>
      <c r="M18" s="87"/>
      <c r="N18" s="87"/>
      <c r="O18" s="87"/>
    </row>
    <row r="19" ht="25.5" spans="1:15">
      <c r="A19" s="72">
        <v>512</v>
      </c>
      <c r="B19" s="220" t="s">
        <v>532</v>
      </c>
      <c r="C19" s="74">
        <f>+C20+C21</f>
        <v>0</v>
      </c>
      <c r="D19" s="75"/>
      <c r="E19" s="75"/>
      <c r="F19" s="74">
        <f>+F20+F21</f>
        <v>0</v>
      </c>
      <c r="G19" s="74" t="e">
        <f t="shared" ref="G19:G26" si="6">+F19/C19*100</f>
        <v>#DIV/0!</v>
      </c>
      <c r="H19" s="74" t="e">
        <f t="shared" ref="H19:H26" si="7">+F19/E19*100</f>
        <v>#DIV/0!</v>
      </c>
      <c r="I19" s="86"/>
      <c r="J19" s="86"/>
      <c r="K19" s="86"/>
      <c r="L19" s="86"/>
      <c r="M19" s="87"/>
      <c r="N19" s="87"/>
      <c r="O19" s="87"/>
    </row>
    <row r="20" ht="25.5" spans="1:15">
      <c r="A20" s="76">
        <v>5121</v>
      </c>
      <c r="B20" s="222" t="s">
        <v>533</v>
      </c>
      <c r="C20" s="99">
        <v>0</v>
      </c>
      <c r="D20" s="75"/>
      <c r="E20" s="75"/>
      <c r="F20" s="78">
        <v>0</v>
      </c>
      <c r="G20" s="78" t="e">
        <f t="shared" si="6"/>
        <v>#DIV/0!</v>
      </c>
      <c r="H20" s="78" t="e">
        <f t="shared" si="7"/>
        <v>#DIV/0!</v>
      </c>
      <c r="I20" s="86"/>
      <c r="J20" s="86"/>
      <c r="K20" s="86"/>
      <c r="L20" s="86"/>
      <c r="M20" s="87"/>
      <c r="N20" s="87"/>
      <c r="O20" s="87"/>
    </row>
    <row r="21" ht="25.5" spans="1:15">
      <c r="A21" s="76">
        <v>5122</v>
      </c>
      <c r="B21" s="222" t="s">
        <v>534</v>
      </c>
      <c r="C21" s="99">
        <v>0</v>
      </c>
      <c r="D21" s="75"/>
      <c r="E21" s="75"/>
      <c r="F21" s="78">
        <v>0</v>
      </c>
      <c r="G21" s="78" t="e">
        <f t="shared" si="6"/>
        <v>#DIV/0!</v>
      </c>
      <c r="H21" s="78" t="e">
        <f t="shared" si="7"/>
        <v>#DIV/0!</v>
      </c>
      <c r="I21" s="86"/>
      <c r="J21" s="86"/>
      <c r="K21" s="86"/>
      <c r="L21" s="86"/>
      <c r="M21" s="87"/>
      <c r="N21" s="87"/>
      <c r="O21" s="87"/>
    </row>
    <row r="22" spans="1:15">
      <c r="A22" s="72">
        <v>514</v>
      </c>
      <c r="B22" s="220" t="s">
        <v>535</v>
      </c>
      <c r="C22" s="74">
        <f>+C23</f>
        <v>0</v>
      </c>
      <c r="D22" s="75"/>
      <c r="E22" s="75"/>
      <c r="F22" s="74">
        <f t="shared" ref="F22" si="8">+F23</f>
        <v>0</v>
      </c>
      <c r="G22" s="74" t="e">
        <f t="shared" si="6"/>
        <v>#DIV/0!</v>
      </c>
      <c r="H22" s="74" t="e">
        <f t="shared" si="7"/>
        <v>#DIV/0!</v>
      </c>
      <c r="I22" s="86"/>
      <c r="J22" s="86"/>
      <c r="K22" s="86"/>
      <c r="L22" s="86"/>
      <c r="M22" s="87"/>
      <c r="N22" s="87"/>
      <c r="O22" s="87"/>
    </row>
    <row r="23" spans="1:15">
      <c r="A23" s="76">
        <v>5141</v>
      </c>
      <c r="B23" s="222" t="s">
        <v>536</v>
      </c>
      <c r="C23" s="99"/>
      <c r="D23" s="75"/>
      <c r="E23" s="75"/>
      <c r="F23" s="78"/>
      <c r="G23" s="78" t="e">
        <f t="shared" si="6"/>
        <v>#DIV/0!</v>
      </c>
      <c r="H23" s="78" t="e">
        <f t="shared" si="7"/>
        <v>#DIV/0!</v>
      </c>
      <c r="I23" s="86"/>
      <c r="J23" s="86"/>
      <c r="K23" s="86"/>
      <c r="L23" s="86"/>
      <c r="M23" s="87"/>
      <c r="N23" s="87"/>
      <c r="O23" s="87"/>
    </row>
    <row r="24" spans="1:15">
      <c r="A24" s="72">
        <v>518</v>
      </c>
      <c r="B24" s="220" t="s">
        <v>537</v>
      </c>
      <c r="C24" s="74">
        <f>+C25+C26</f>
        <v>0</v>
      </c>
      <c r="D24" s="75"/>
      <c r="E24" s="75"/>
      <c r="F24" s="74">
        <f>+F25+F26</f>
        <v>0</v>
      </c>
      <c r="G24" s="74" t="e">
        <f t="shared" si="6"/>
        <v>#DIV/0!</v>
      </c>
      <c r="H24" s="74" t="e">
        <f t="shared" si="7"/>
        <v>#DIV/0!</v>
      </c>
      <c r="I24" s="86"/>
      <c r="J24" s="86"/>
      <c r="K24" s="86"/>
      <c r="L24" s="86"/>
      <c r="M24" s="87"/>
      <c r="N24" s="87"/>
      <c r="O24" s="87"/>
    </row>
    <row r="25" ht="25.5" spans="1:15">
      <c r="A25" s="76">
        <v>5181</v>
      </c>
      <c r="B25" s="222" t="s">
        <v>538</v>
      </c>
      <c r="C25" s="99">
        <v>0</v>
      </c>
      <c r="D25" s="75"/>
      <c r="E25" s="75"/>
      <c r="F25" s="78">
        <v>0</v>
      </c>
      <c r="G25" s="78" t="e">
        <f t="shared" si="6"/>
        <v>#DIV/0!</v>
      </c>
      <c r="H25" s="78" t="e">
        <f t="shared" si="7"/>
        <v>#DIV/0!</v>
      </c>
      <c r="I25" s="86"/>
      <c r="J25" s="86"/>
      <c r="K25" s="86"/>
      <c r="L25" s="86"/>
      <c r="M25" s="87"/>
      <c r="N25" s="87"/>
      <c r="O25" s="87"/>
    </row>
    <row r="26" spans="1:15">
      <c r="A26" s="76">
        <v>5183</v>
      </c>
      <c r="B26" s="222" t="s">
        <v>539</v>
      </c>
      <c r="C26" s="99">
        <v>0</v>
      </c>
      <c r="D26" s="75"/>
      <c r="E26" s="75"/>
      <c r="F26" s="78">
        <v>0</v>
      </c>
      <c r="G26" s="78" t="e">
        <f t="shared" si="6"/>
        <v>#DIV/0!</v>
      </c>
      <c r="H26" s="78" t="e">
        <f t="shared" si="7"/>
        <v>#DIV/0!</v>
      </c>
      <c r="I26" s="86"/>
      <c r="J26" s="86"/>
      <c r="K26" s="86"/>
      <c r="L26" s="86"/>
      <c r="M26" s="87"/>
      <c r="N26" s="87"/>
      <c r="O26" s="87"/>
    </row>
    <row r="27" spans="1:15">
      <c r="A27" s="231" t="s">
        <v>540</v>
      </c>
      <c r="B27" s="232" t="s">
        <v>541</v>
      </c>
      <c r="C27" s="98">
        <f>+C28+C30</f>
        <v>0</v>
      </c>
      <c r="D27" s="95">
        <v>0</v>
      </c>
      <c r="E27" s="95">
        <v>0</v>
      </c>
      <c r="F27" s="98">
        <f>+F28+F30</f>
        <v>0</v>
      </c>
      <c r="G27" s="70" t="e">
        <f t="shared" si="2"/>
        <v>#DIV/0!</v>
      </c>
      <c r="H27" s="70" t="e">
        <f t="shared" si="3"/>
        <v>#DIV/0!</v>
      </c>
      <c r="I27" s="86"/>
      <c r="J27" s="86"/>
      <c r="K27" s="86"/>
      <c r="L27" s="86"/>
      <c r="M27" s="87"/>
      <c r="N27" s="87"/>
      <c r="O27" s="87"/>
    </row>
    <row r="28" spans="1:15">
      <c r="A28" s="233" t="s">
        <v>542</v>
      </c>
      <c r="B28" s="220" t="s">
        <v>543</v>
      </c>
      <c r="C28" s="74">
        <f>+C29</f>
        <v>0</v>
      </c>
      <c r="D28" s="75"/>
      <c r="E28" s="75"/>
      <c r="F28" s="74">
        <f t="shared" ref="F28" si="9">+F29</f>
        <v>0</v>
      </c>
      <c r="G28" s="96" t="e">
        <f t="shared" si="2"/>
        <v>#DIV/0!</v>
      </c>
      <c r="H28" s="96" t="e">
        <f t="shared" si="3"/>
        <v>#DIV/0!</v>
      </c>
      <c r="I28" s="86"/>
      <c r="J28" s="86"/>
      <c r="K28" s="86"/>
      <c r="L28" s="86"/>
      <c r="M28" s="87"/>
      <c r="N28" s="87"/>
      <c r="O28" s="87"/>
    </row>
    <row r="29" spans="1:15">
      <c r="A29" s="234" t="s">
        <v>544</v>
      </c>
      <c r="B29" s="222" t="s">
        <v>543</v>
      </c>
      <c r="C29" s="99">
        <v>0</v>
      </c>
      <c r="D29" s="75"/>
      <c r="E29" s="75"/>
      <c r="F29" s="78">
        <v>0</v>
      </c>
      <c r="G29" s="78" t="e">
        <f t="shared" si="2"/>
        <v>#DIV/0!</v>
      </c>
      <c r="H29" s="78" t="e">
        <f t="shared" si="3"/>
        <v>#DIV/0!</v>
      </c>
      <c r="I29" s="86"/>
      <c r="J29" s="86"/>
      <c r="K29" s="86"/>
      <c r="L29" s="86"/>
      <c r="M29" s="87"/>
      <c r="N29" s="87"/>
      <c r="O29" s="87"/>
    </row>
    <row r="30" ht="25.5" spans="1:15">
      <c r="A30" s="233" t="s">
        <v>545</v>
      </c>
      <c r="B30" s="220" t="s">
        <v>546</v>
      </c>
      <c r="C30" s="74">
        <f>+C31</f>
        <v>0</v>
      </c>
      <c r="D30" s="75"/>
      <c r="E30" s="75"/>
      <c r="F30" s="74">
        <f t="shared" ref="F30" si="10">+F31</f>
        <v>0</v>
      </c>
      <c r="G30" s="96" t="e">
        <f t="shared" si="2"/>
        <v>#DIV/0!</v>
      </c>
      <c r="H30" s="96" t="e">
        <f t="shared" si="3"/>
        <v>#DIV/0!</v>
      </c>
      <c r="I30" s="86"/>
      <c r="J30" s="86"/>
      <c r="K30" s="86"/>
      <c r="L30" s="86"/>
      <c r="M30" s="87"/>
      <c r="N30" s="87"/>
      <c r="O30" s="87"/>
    </row>
    <row r="31" ht="25.5" spans="1:15">
      <c r="A31" s="234" t="s">
        <v>547</v>
      </c>
      <c r="B31" s="222" t="s">
        <v>548</v>
      </c>
      <c r="C31" s="78">
        <v>0</v>
      </c>
      <c r="D31" s="75"/>
      <c r="E31" s="75"/>
      <c r="F31" s="78">
        <v>0</v>
      </c>
      <c r="G31" s="78" t="e">
        <f t="shared" si="2"/>
        <v>#DIV/0!</v>
      </c>
      <c r="H31" s="78" t="e">
        <f t="shared" si="3"/>
        <v>#DIV/0!</v>
      </c>
      <c r="I31" s="86"/>
      <c r="J31" s="86"/>
      <c r="K31" s="86"/>
      <c r="L31" s="86"/>
      <c r="M31" s="87"/>
      <c r="N31" s="87"/>
      <c r="O31" s="87"/>
    </row>
    <row r="32" spans="1:15">
      <c r="A32" s="231" t="s">
        <v>549</v>
      </c>
      <c r="B32" s="232" t="s">
        <v>550</v>
      </c>
      <c r="C32" s="70">
        <f>+C33+C35</f>
        <v>0</v>
      </c>
      <c r="D32" s="95">
        <v>0</v>
      </c>
      <c r="E32" s="95">
        <v>0</v>
      </c>
      <c r="F32" s="70">
        <f>+F33+F35</f>
        <v>0</v>
      </c>
      <c r="G32" s="70" t="e">
        <f t="shared" si="2"/>
        <v>#DIV/0!</v>
      </c>
      <c r="H32" s="70" t="e">
        <f t="shared" si="3"/>
        <v>#DIV/0!</v>
      </c>
      <c r="I32" s="86"/>
      <c r="J32" s="86"/>
      <c r="K32" s="86"/>
      <c r="L32" s="86"/>
      <c r="M32" s="87"/>
      <c r="N32" s="87"/>
      <c r="O32" s="87"/>
    </row>
    <row r="33" ht="25.5" spans="1:15">
      <c r="A33" s="233" t="s">
        <v>551</v>
      </c>
      <c r="B33" s="220" t="s">
        <v>552</v>
      </c>
      <c r="C33" s="74">
        <f>+C34</f>
        <v>0</v>
      </c>
      <c r="D33" s="75"/>
      <c r="E33" s="75"/>
      <c r="F33" s="74">
        <f t="shared" ref="F33" si="11">+F34</f>
        <v>0</v>
      </c>
      <c r="G33" s="96" t="e">
        <f t="shared" si="2"/>
        <v>#DIV/0!</v>
      </c>
      <c r="H33" s="96" t="e">
        <f t="shared" si="3"/>
        <v>#DIV/0!</v>
      </c>
      <c r="I33" s="86"/>
      <c r="J33" s="86"/>
      <c r="K33" s="86"/>
      <c r="L33" s="86"/>
      <c r="M33" s="87"/>
      <c r="N33" s="87"/>
      <c r="O33" s="87"/>
    </row>
    <row r="34" ht="25.5" spans="1:15">
      <c r="A34" s="234" t="s">
        <v>553</v>
      </c>
      <c r="B34" s="222" t="s">
        <v>554</v>
      </c>
      <c r="C34" s="78">
        <v>0</v>
      </c>
      <c r="D34" s="75"/>
      <c r="E34" s="75"/>
      <c r="F34" s="78">
        <v>0</v>
      </c>
      <c r="G34" s="78" t="e">
        <f t="shared" si="2"/>
        <v>#DIV/0!</v>
      </c>
      <c r="H34" s="78" t="e">
        <f t="shared" si="3"/>
        <v>#DIV/0!</v>
      </c>
      <c r="I34" s="87"/>
      <c r="J34" s="87"/>
      <c r="K34" s="87"/>
      <c r="L34" s="87"/>
      <c r="M34" s="87"/>
      <c r="N34" s="87"/>
      <c r="O34" s="87"/>
    </row>
    <row r="35" ht="25.5" spans="1:15">
      <c r="A35" s="233" t="s">
        <v>555</v>
      </c>
      <c r="B35" s="220" t="s">
        <v>556</v>
      </c>
      <c r="C35" s="74">
        <f>+C36</f>
        <v>0</v>
      </c>
      <c r="D35" s="75"/>
      <c r="E35" s="75"/>
      <c r="F35" s="74">
        <f t="shared" ref="F35" si="12">+F36</f>
        <v>0</v>
      </c>
      <c r="G35" s="74" t="e">
        <f t="shared" si="2"/>
        <v>#DIV/0!</v>
      </c>
      <c r="H35" s="74" t="e">
        <f t="shared" si="3"/>
        <v>#DIV/0!</v>
      </c>
      <c r="I35" s="87"/>
      <c r="J35" s="87"/>
      <c r="K35" s="87"/>
      <c r="L35" s="87"/>
      <c r="M35" s="87"/>
      <c r="N35" s="87"/>
      <c r="O35" s="87"/>
    </row>
    <row r="36" ht="25.5" spans="1:15">
      <c r="A36" s="234" t="s">
        <v>557</v>
      </c>
      <c r="B36" s="222" t="s">
        <v>558</v>
      </c>
      <c r="C36" s="78">
        <v>0</v>
      </c>
      <c r="D36" s="75"/>
      <c r="E36" s="75"/>
      <c r="F36" s="78">
        <v>0</v>
      </c>
      <c r="G36" s="78" t="e">
        <f t="shared" si="2"/>
        <v>#DIV/0!</v>
      </c>
      <c r="H36" s="78" t="e">
        <f t="shared" si="3"/>
        <v>#DIV/0!</v>
      </c>
      <c r="I36" s="87"/>
      <c r="J36" s="87"/>
      <c r="K36" s="87"/>
      <c r="L36" s="87"/>
      <c r="M36" s="87"/>
      <c r="N36" s="87"/>
      <c r="O36" s="87"/>
    </row>
  </sheetData>
  <mergeCells count="4">
    <mergeCell ref="A2:K2"/>
    <mergeCell ref="A5:H5"/>
    <mergeCell ref="A7:B7"/>
    <mergeCell ref="A8:B8"/>
  </mergeCells>
  <pageMargins left="0.708661417322835" right="0.708661417322835" top="0.354330708661417" bottom="0.15748031496063" header="0.31496062992126" footer="0.31496062992126"/>
  <pageSetup paperSize="9" scale="8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90" zoomScaleNormal="90" topLeftCell="A4" workbookViewId="0">
      <selection activeCell="F26" sqref="F26"/>
    </sheetView>
  </sheetViews>
  <sheetFormatPr defaultColWidth="9" defaultRowHeight="12.75"/>
  <cols>
    <col min="1" max="1" width="15.8571428571429" style="56" customWidth="1"/>
    <col min="2" max="2" width="29.4285714285714" style="57" customWidth="1"/>
    <col min="3" max="3" width="20.1428571428571" style="58" customWidth="1"/>
    <col min="4" max="5" width="17.7142857142857" style="59" customWidth="1"/>
    <col min="6" max="6" width="16.5714285714286" style="58" customWidth="1"/>
    <col min="7" max="8" width="12" style="58" customWidth="1"/>
    <col min="9" max="9" width="15.4285714285714" style="56" customWidth="1"/>
    <col min="10" max="10" width="9.42857142857143" style="56" customWidth="1"/>
    <col min="11" max="11" width="15.4285714285714" style="56" customWidth="1"/>
    <col min="12" max="12" width="9.42857142857143" style="56" customWidth="1"/>
    <col min="13" max="256" width="9.14285714285714" style="56"/>
    <col min="257" max="257" width="15.8571428571429" style="56" customWidth="1"/>
    <col min="258" max="258" width="50.7142857142857" style="56" customWidth="1"/>
    <col min="259" max="259" width="20.1428571428571" style="56" customWidth="1"/>
    <col min="260" max="261" width="17.7142857142857" style="56" customWidth="1"/>
    <col min="262" max="262" width="16.5714285714286" style="56" customWidth="1"/>
    <col min="263" max="263" width="15.7142857142857" style="56" customWidth="1"/>
    <col min="264" max="264" width="18.4285714285714" style="56" customWidth="1"/>
    <col min="265" max="265" width="15.4285714285714" style="56" customWidth="1"/>
    <col min="266" max="266" width="9.42857142857143" style="56" customWidth="1"/>
    <col min="267" max="267" width="15.4285714285714" style="56" customWidth="1"/>
    <col min="268" max="268" width="9.42857142857143" style="56" customWidth="1"/>
    <col min="269" max="512" width="9.14285714285714" style="56"/>
    <col min="513" max="513" width="15.8571428571429" style="56" customWidth="1"/>
    <col min="514" max="514" width="50.7142857142857" style="56" customWidth="1"/>
    <col min="515" max="515" width="20.1428571428571" style="56" customWidth="1"/>
    <col min="516" max="517" width="17.7142857142857" style="56" customWidth="1"/>
    <col min="518" max="518" width="16.5714285714286" style="56" customWidth="1"/>
    <col min="519" max="519" width="15.7142857142857" style="56" customWidth="1"/>
    <col min="520" max="520" width="18.4285714285714" style="56" customWidth="1"/>
    <col min="521" max="521" width="15.4285714285714" style="56" customWidth="1"/>
    <col min="522" max="522" width="9.42857142857143" style="56" customWidth="1"/>
    <col min="523" max="523" width="15.4285714285714" style="56" customWidth="1"/>
    <col min="524" max="524" width="9.42857142857143" style="56" customWidth="1"/>
    <col min="525" max="768" width="9.14285714285714" style="56"/>
    <col min="769" max="769" width="15.8571428571429" style="56" customWidth="1"/>
    <col min="770" max="770" width="50.7142857142857" style="56" customWidth="1"/>
    <col min="771" max="771" width="20.1428571428571" style="56" customWidth="1"/>
    <col min="772" max="773" width="17.7142857142857" style="56" customWidth="1"/>
    <col min="774" max="774" width="16.5714285714286" style="56" customWidth="1"/>
    <col min="775" max="775" width="15.7142857142857" style="56" customWidth="1"/>
    <col min="776" max="776" width="18.4285714285714" style="56" customWidth="1"/>
    <col min="777" max="777" width="15.4285714285714" style="56" customWidth="1"/>
    <col min="778" max="778" width="9.42857142857143" style="56" customWidth="1"/>
    <col min="779" max="779" width="15.4285714285714" style="56" customWidth="1"/>
    <col min="780" max="780" width="9.42857142857143" style="56" customWidth="1"/>
    <col min="781" max="1024" width="9.14285714285714" style="56"/>
    <col min="1025" max="1025" width="15.8571428571429" style="56" customWidth="1"/>
    <col min="1026" max="1026" width="50.7142857142857" style="56" customWidth="1"/>
    <col min="1027" max="1027" width="20.1428571428571" style="56" customWidth="1"/>
    <col min="1028" max="1029" width="17.7142857142857" style="56" customWidth="1"/>
    <col min="1030" max="1030" width="16.5714285714286" style="56" customWidth="1"/>
    <col min="1031" max="1031" width="15.7142857142857" style="56" customWidth="1"/>
    <col min="1032" max="1032" width="18.4285714285714" style="56" customWidth="1"/>
    <col min="1033" max="1033" width="15.4285714285714" style="56" customWidth="1"/>
    <col min="1034" max="1034" width="9.42857142857143" style="56" customWidth="1"/>
    <col min="1035" max="1035" width="15.4285714285714" style="56" customWidth="1"/>
    <col min="1036" max="1036" width="9.42857142857143" style="56" customWidth="1"/>
    <col min="1037" max="1280" width="9.14285714285714" style="56"/>
    <col min="1281" max="1281" width="15.8571428571429" style="56" customWidth="1"/>
    <col min="1282" max="1282" width="50.7142857142857" style="56" customWidth="1"/>
    <col min="1283" max="1283" width="20.1428571428571" style="56" customWidth="1"/>
    <col min="1284" max="1285" width="17.7142857142857" style="56" customWidth="1"/>
    <col min="1286" max="1286" width="16.5714285714286" style="56" customWidth="1"/>
    <col min="1287" max="1287" width="15.7142857142857" style="56" customWidth="1"/>
    <col min="1288" max="1288" width="18.4285714285714" style="56" customWidth="1"/>
    <col min="1289" max="1289" width="15.4285714285714" style="56" customWidth="1"/>
    <col min="1290" max="1290" width="9.42857142857143" style="56" customWidth="1"/>
    <col min="1291" max="1291" width="15.4285714285714" style="56" customWidth="1"/>
    <col min="1292" max="1292" width="9.42857142857143" style="56" customWidth="1"/>
    <col min="1293" max="1536" width="9.14285714285714" style="56"/>
    <col min="1537" max="1537" width="15.8571428571429" style="56" customWidth="1"/>
    <col min="1538" max="1538" width="50.7142857142857" style="56" customWidth="1"/>
    <col min="1539" max="1539" width="20.1428571428571" style="56" customWidth="1"/>
    <col min="1540" max="1541" width="17.7142857142857" style="56" customWidth="1"/>
    <col min="1542" max="1542" width="16.5714285714286" style="56" customWidth="1"/>
    <col min="1543" max="1543" width="15.7142857142857" style="56" customWidth="1"/>
    <col min="1544" max="1544" width="18.4285714285714" style="56" customWidth="1"/>
    <col min="1545" max="1545" width="15.4285714285714" style="56" customWidth="1"/>
    <col min="1546" max="1546" width="9.42857142857143" style="56" customWidth="1"/>
    <col min="1547" max="1547" width="15.4285714285714" style="56" customWidth="1"/>
    <col min="1548" max="1548" width="9.42857142857143" style="56" customWidth="1"/>
    <col min="1549" max="1792" width="9.14285714285714" style="56"/>
    <col min="1793" max="1793" width="15.8571428571429" style="56" customWidth="1"/>
    <col min="1794" max="1794" width="50.7142857142857" style="56" customWidth="1"/>
    <col min="1795" max="1795" width="20.1428571428571" style="56" customWidth="1"/>
    <col min="1796" max="1797" width="17.7142857142857" style="56" customWidth="1"/>
    <col min="1798" max="1798" width="16.5714285714286" style="56" customWidth="1"/>
    <col min="1799" max="1799" width="15.7142857142857" style="56" customWidth="1"/>
    <col min="1800" max="1800" width="18.4285714285714" style="56" customWidth="1"/>
    <col min="1801" max="1801" width="15.4285714285714" style="56" customWidth="1"/>
    <col min="1802" max="1802" width="9.42857142857143" style="56" customWidth="1"/>
    <col min="1803" max="1803" width="15.4285714285714" style="56" customWidth="1"/>
    <col min="1804" max="1804" width="9.42857142857143" style="56" customWidth="1"/>
    <col min="1805" max="2048" width="9.14285714285714" style="56"/>
    <col min="2049" max="2049" width="15.8571428571429" style="56" customWidth="1"/>
    <col min="2050" max="2050" width="50.7142857142857" style="56" customWidth="1"/>
    <col min="2051" max="2051" width="20.1428571428571" style="56" customWidth="1"/>
    <col min="2052" max="2053" width="17.7142857142857" style="56" customWidth="1"/>
    <col min="2054" max="2054" width="16.5714285714286" style="56" customWidth="1"/>
    <col min="2055" max="2055" width="15.7142857142857" style="56" customWidth="1"/>
    <col min="2056" max="2056" width="18.4285714285714" style="56" customWidth="1"/>
    <col min="2057" max="2057" width="15.4285714285714" style="56" customWidth="1"/>
    <col min="2058" max="2058" width="9.42857142857143" style="56" customWidth="1"/>
    <col min="2059" max="2059" width="15.4285714285714" style="56" customWidth="1"/>
    <col min="2060" max="2060" width="9.42857142857143" style="56" customWidth="1"/>
    <col min="2061" max="2304" width="9.14285714285714" style="56"/>
    <col min="2305" max="2305" width="15.8571428571429" style="56" customWidth="1"/>
    <col min="2306" max="2306" width="50.7142857142857" style="56" customWidth="1"/>
    <col min="2307" max="2307" width="20.1428571428571" style="56" customWidth="1"/>
    <col min="2308" max="2309" width="17.7142857142857" style="56" customWidth="1"/>
    <col min="2310" max="2310" width="16.5714285714286" style="56" customWidth="1"/>
    <col min="2311" max="2311" width="15.7142857142857" style="56" customWidth="1"/>
    <col min="2312" max="2312" width="18.4285714285714" style="56" customWidth="1"/>
    <col min="2313" max="2313" width="15.4285714285714" style="56" customWidth="1"/>
    <col min="2314" max="2314" width="9.42857142857143" style="56" customWidth="1"/>
    <col min="2315" max="2315" width="15.4285714285714" style="56" customWidth="1"/>
    <col min="2316" max="2316" width="9.42857142857143" style="56" customWidth="1"/>
    <col min="2317" max="2560" width="9.14285714285714" style="56"/>
    <col min="2561" max="2561" width="15.8571428571429" style="56" customWidth="1"/>
    <col min="2562" max="2562" width="50.7142857142857" style="56" customWidth="1"/>
    <col min="2563" max="2563" width="20.1428571428571" style="56" customWidth="1"/>
    <col min="2564" max="2565" width="17.7142857142857" style="56" customWidth="1"/>
    <col min="2566" max="2566" width="16.5714285714286" style="56" customWidth="1"/>
    <col min="2567" max="2567" width="15.7142857142857" style="56" customWidth="1"/>
    <col min="2568" max="2568" width="18.4285714285714" style="56" customWidth="1"/>
    <col min="2569" max="2569" width="15.4285714285714" style="56" customWidth="1"/>
    <col min="2570" max="2570" width="9.42857142857143" style="56" customWidth="1"/>
    <col min="2571" max="2571" width="15.4285714285714" style="56" customWidth="1"/>
    <col min="2572" max="2572" width="9.42857142857143" style="56" customWidth="1"/>
    <col min="2573" max="2816" width="9.14285714285714" style="56"/>
    <col min="2817" max="2817" width="15.8571428571429" style="56" customWidth="1"/>
    <col min="2818" max="2818" width="50.7142857142857" style="56" customWidth="1"/>
    <col min="2819" max="2819" width="20.1428571428571" style="56" customWidth="1"/>
    <col min="2820" max="2821" width="17.7142857142857" style="56" customWidth="1"/>
    <col min="2822" max="2822" width="16.5714285714286" style="56" customWidth="1"/>
    <col min="2823" max="2823" width="15.7142857142857" style="56" customWidth="1"/>
    <col min="2824" max="2824" width="18.4285714285714" style="56" customWidth="1"/>
    <col min="2825" max="2825" width="15.4285714285714" style="56" customWidth="1"/>
    <col min="2826" max="2826" width="9.42857142857143" style="56" customWidth="1"/>
    <col min="2827" max="2827" width="15.4285714285714" style="56" customWidth="1"/>
    <col min="2828" max="2828" width="9.42857142857143" style="56" customWidth="1"/>
    <col min="2829" max="3072" width="9.14285714285714" style="56"/>
    <col min="3073" max="3073" width="15.8571428571429" style="56" customWidth="1"/>
    <col min="3074" max="3074" width="50.7142857142857" style="56" customWidth="1"/>
    <col min="3075" max="3075" width="20.1428571428571" style="56" customWidth="1"/>
    <col min="3076" max="3077" width="17.7142857142857" style="56" customWidth="1"/>
    <col min="3078" max="3078" width="16.5714285714286" style="56" customWidth="1"/>
    <col min="3079" max="3079" width="15.7142857142857" style="56" customWidth="1"/>
    <col min="3080" max="3080" width="18.4285714285714" style="56" customWidth="1"/>
    <col min="3081" max="3081" width="15.4285714285714" style="56" customWidth="1"/>
    <col min="3082" max="3082" width="9.42857142857143" style="56" customWidth="1"/>
    <col min="3083" max="3083" width="15.4285714285714" style="56" customWidth="1"/>
    <col min="3084" max="3084" width="9.42857142857143" style="56" customWidth="1"/>
    <col min="3085" max="3328" width="9.14285714285714" style="56"/>
    <col min="3329" max="3329" width="15.8571428571429" style="56" customWidth="1"/>
    <col min="3330" max="3330" width="50.7142857142857" style="56" customWidth="1"/>
    <col min="3331" max="3331" width="20.1428571428571" style="56" customWidth="1"/>
    <col min="3332" max="3333" width="17.7142857142857" style="56" customWidth="1"/>
    <col min="3334" max="3334" width="16.5714285714286" style="56" customWidth="1"/>
    <col min="3335" max="3335" width="15.7142857142857" style="56" customWidth="1"/>
    <col min="3336" max="3336" width="18.4285714285714" style="56" customWidth="1"/>
    <col min="3337" max="3337" width="15.4285714285714" style="56" customWidth="1"/>
    <col min="3338" max="3338" width="9.42857142857143" style="56" customWidth="1"/>
    <col min="3339" max="3339" width="15.4285714285714" style="56" customWidth="1"/>
    <col min="3340" max="3340" width="9.42857142857143" style="56" customWidth="1"/>
    <col min="3341" max="3584" width="9.14285714285714" style="56"/>
    <col min="3585" max="3585" width="15.8571428571429" style="56" customWidth="1"/>
    <col min="3586" max="3586" width="50.7142857142857" style="56" customWidth="1"/>
    <col min="3587" max="3587" width="20.1428571428571" style="56" customWidth="1"/>
    <col min="3588" max="3589" width="17.7142857142857" style="56" customWidth="1"/>
    <col min="3590" max="3590" width="16.5714285714286" style="56" customWidth="1"/>
    <col min="3591" max="3591" width="15.7142857142857" style="56" customWidth="1"/>
    <col min="3592" max="3592" width="18.4285714285714" style="56" customWidth="1"/>
    <col min="3593" max="3593" width="15.4285714285714" style="56" customWidth="1"/>
    <col min="3594" max="3594" width="9.42857142857143" style="56" customWidth="1"/>
    <col min="3595" max="3595" width="15.4285714285714" style="56" customWidth="1"/>
    <col min="3596" max="3596" width="9.42857142857143" style="56" customWidth="1"/>
    <col min="3597" max="3840" width="9.14285714285714" style="56"/>
    <col min="3841" max="3841" width="15.8571428571429" style="56" customWidth="1"/>
    <col min="3842" max="3842" width="50.7142857142857" style="56" customWidth="1"/>
    <col min="3843" max="3843" width="20.1428571428571" style="56" customWidth="1"/>
    <col min="3844" max="3845" width="17.7142857142857" style="56" customWidth="1"/>
    <col min="3846" max="3846" width="16.5714285714286" style="56" customWidth="1"/>
    <col min="3847" max="3847" width="15.7142857142857" style="56" customWidth="1"/>
    <col min="3848" max="3848" width="18.4285714285714" style="56" customWidth="1"/>
    <col min="3849" max="3849" width="15.4285714285714" style="56" customWidth="1"/>
    <col min="3850" max="3850" width="9.42857142857143" style="56" customWidth="1"/>
    <col min="3851" max="3851" width="15.4285714285714" style="56" customWidth="1"/>
    <col min="3852" max="3852" width="9.42857142857143" style="56" customWidth="1"/>
    <col min="3853" max="4096" width="9.14285714285714" style="56"/>
    <col min="4097" max="4097" width="15.8571428571429" style="56" customWidth="1"/>
    <col min="4098" max="4098" width="50.7142857142857" style="56" customWidth="1"/>
    <col min="4099" max="4099" width="20.1428571428571" style="56" customWidth="1"/>
    <col min="4100" max="4101" width="17.7142857142857" style="56" customWidth="1"/>
    <col min="4102" max="4102" width="16.5714285714286" style="56" customWidth="1"/>
    <col min="4103" max="4103" width="15.7142857142857" style="56" customWidth="1"/>
    <col min="4104" max="4104" width="18.4285714285714" style="56" customWidth="1"/>
    <col min="4105" max="4105" width="15.4285714285714" style="56" customWidth="1"/>
    <col min="4106" max="4106" width="9.42857142857143" style="56" customWidth="1"/>
    <col min="4107" max="4107" width="15.4285714285714" style="56" customWidth="1"/>
    <col min="4108" max="4108" width="9.42857142857143" style="56" customWidth="1"/>
    <col min="4109" max="4352" width="9.14285714285714" style="56"/>
    <col min="4353" max="4353" width="15.8571428571429" style="56" customWidth="1"/>
    <col min="4354" max="4354" width="50.7142857142857" style="56" customWidth="1"/>
    <col min="4355" max="4355" width="20.1428571428571" style="56" customWidth="1"/>
    <col min="4356" max="4357" width="17.7142857142857" style="56" customWidth="1"/>
    <col min="4358" max="4358" width="16.5714285714286" style="56" customWidth="1"/>
    <col min="4359" max="4359" width="15.7142857142857" style="56" customWidth="1"/>
    <col min="4360" max="4360" width="18.4285714285714" style="56" customWidth="1"/>
    <col min="4361" max="4361" width="15.4285714285714" style="56" customWidth="1"/>
    <col min="4362" max="4362" width="9.42857142857143" style="56" customWidth="1"/>
    <col min="4363" max="4363" width="15.4285714285714" style="56" customWidth="1"/>
    <col min="4364" max="4364" width="9.42857142857143" style="56" customWidth="1"/>
    <col min="4365" max="4608" width="9.14285714285714" style="56"/>
    <col min="4609" max="4609" width="15.8571428571429" style="56" customWidth="1"/>
    <col min="4610" max="4610" width="50.7142857142857" style="56" customWidth="1"/>
    <col min="4611" max="4611" width="20.1428571428571" style="56" customWidth="1"/>
    <col min="4612" max="4613" width="17.7142857142857" style="56" customWidth="1"/>
    <col min="4614" max="4614" width="16.5714285714286" style="56" customWidth="1"/>
    <col min="4615" max="4615" width="15.7142857142857" style="56" customWidth="1"/>
    <col min="4616" max="4616" width="18.4285714285714" style="56" customWidth="1"/>
    <col min="4617" max="4617" width="15.4285714285714" style="56" customWidth="1"/>
    <col min="4618" max="4618" width="9.42857142857143" style="56" customWidth="1"/>
    <col min="4619" max="4619" width="15.4285714285714" style="56" customWidth="1"/>
    <col min="4620" max="4620" width="9.42857142857143" style="56" customWidth="1"/>
    <col min="4621" max="4864" width="9.14285714285714" style="56"/>
    <col min="4865" max="4865" width="15.8571428571429" style="56" customWidth="1"/>
    <col min="4866" max="4866" width="50.7142857142857" style="56" customWidth="1"/>
    <col min="4867" max="4867" width="20.1428571428571" style="56" customWidth="1"/>
    <col min="4868" max="4869" width="17.7142857142857" style="56" customWidth="1"/>
    <col min="4870" max="4870" width="16.5714285714286" style="56" customWidth="1"/>
    <col min="4871" max="4871" width="15.7142857142857" style="56" customWidth="1"/>
    <col min="4872" max="4872" width="18.4285714285714" style="56" customWidth="1"/>
    <col min="4873" max="4873" width="15.4285714285714" style="56" customWidth="1"/>
    <col min="4874" max="4874" width="9.42857142857143" style="56" customWidth="1"/>
    <col min="4875" max="4875" width="15.4285714285714" style="56" customWidth="1"/>
    <col min="4876" max="4876" width="9.42857142857143" style="56" customWidth="1"/>
    <col min="4877" max="5120" width="9.14285714285714" style="56"/>
    <col min="5121" max="5121" width="15.8571428571429" style="56" customWidth="1"/>
    <col min="5122" max="5122" width="50.7142857142857" style="56" customWidth="1"/>
    <col min="5123" max="5123" width="20.1428571428571" style="56" customWidth="1"/>
    <col min="5124" max="5125" width="17.7142857142857" style="56" customWidth="1"/>
    <col min="5126" max="5126" width="16.5714285714286" style="56" customWidth="1"/>
    <col min="5127" max="5127" width="15.7142857142857" style="56" customWidth="1"/>
    <col min="5128" max="5128" width="18.4285714285714" style="56" customWidth="1"/>
    <col min="5129" max="5129" width="15.4285714285714" style="56" customWidth="1"/>
    <col min="5130" max="5130" width="9.42857142857143" style="56" customWidth="1"/>
    <col min="5131" max="5131" width="15.4285714285714" style="56" customWidth="1"/>
    <col min="5132" max="5132" width="9.42857142857143" style="56" customWidth="1"/>
    <col min="5133" max="5376" width="9.14285714285714" style="56"/>
    <col min="5377" max="5377" width="15.8571428571429" style="56" customWidth="1"/>
    <col min="5378" max="5378" width="50.7142857142857" style="56" customWidth="1"/>
    <col min="5379" max="5379" width="20.1428571428571" style="56" customWidth="1"/>
    <col min="5380" max="5381" width="17.7142857142857" style="56" customWidth="1"/>
    <col min="5382" max="5382" width="16.5714285714286" style="56" customWidth="1"/>
    <col min="5383" max="5383" width="15.7142857142857" style="56" customWidth="1"/>
    <col min="5384" max="5384" width="18.4285714285714" style="56" customWidth="1"/>
    <col min="5385" max="5385" width="15.4285714285714" style="56" customWidth="1"/>
    <col min="5386" max="5386" width="9.42857142857143" style="56" customWidth="1"/>
    <col min="5387" max="5387" width="15.4285714285714" style="56" customWidth="1"/>
    <col min="5388" max="5388" width="9.42857142857143" style="56" customWidth="1"/>
    <col min="5389" max="5632" width="9.14285714285714" style="56"/>
    <col min="5633" max="5633" width="15.8571428571429" style="56" customWidth="1"/>
    <col min="5634" max="5634" width="50.7142857142857" style="56" customWidth="1"/>
    <col min="5635" max="5635" width="20.1428571428571" style="56" customWidth="1"/>
    <col min="5636" max="5637" width="17.7142857142857" style="56" customWidth="1"/>
    <col min="5638" max="5638" width="16.5714285714286" style="56" customWidth="1"/>
    <col min="5639" max="5639" width="15.7142857142857" style="56" customWidth="1"/>
    <col min="5640" max="5640" width="18.4285714285714" style="56" customWidth="1"/>
    <col min="5641" max="5641" width="15.4285714285714" style="56" customWidth="1"/>
    <col min="5642" max="5642" width="9.42857142857143" style="56" customWidth="1"/>
    <col min="5643" max="5643" width="15.4285714285714" style="56" customWidth="1"/>
    <col min="5644" max="5644" width="9.42857142857143" style="56" customWidth="1"/>
    <col min="5645" max="5888" width="9.14285714285714" style="56"/>
    <col min="5889" max="5889" width="15.8571428571429" style="56" customWidth="1"/>
    <col min="5890" max="5890" width="50.7142857142857" style="56" customWidth="1"/>
    <col min="5891" max="5891" width="20.1428571428571" style="56" customWidth="1"/>
    <col min="5892" max="5893" width="17.7142857142857" style="56" customWidth="1"/>
    <col min="5894" max="5894" width="16.5714285714286" style="56" customWidth="1"/>
    <col min="5895" max="5895" width="15.7142857142857" style="56" customWidth="1"/>
    <col min="5896" max="5896" width="18.4285714285714" style="56" customWidth="1"/>
    <col min="5897" max="5897" width="15.4285714285714" style="56" customWidth="1"/>
    <col min="5898" max="5898" width="9.42857142857143" style="56" customWidth="1"/>
    <col min="5899" max="5899" width="15.4285714285714" style="56" customWidth="1"/>
    <col min="5900" max="5900" width="9.42857142857143" style="56" customWidth="1"/>
    <col min="5901" max="6144" width="9.14285714285714" style="56"/>
    <col min="6145" max="6145" width="15.8571428571429" style="56" customWidth="1"/>
    <col min="6146" max="6146" width="50.7142857142857" style="56" customWidth="1"/>
    <col min="6147" max="6147" width="20.1428571428571" style="56" customWidth="1"/>
    <col min="6148" max="6149" width="17.7142857142857" style="56" customWidth="1"/>
    <col min="6150" max="6150" width="16.5714285714286" style="56" customWidth="1"/>
    <col min="6151" max="6151" width="15.7142857142857" style="56" customWidth="1"/>
    <col min="6152" max="6152" width="18.4285714285714" style="56" customWidth="1"/>
    <col min="6153" max="6153" width="15.4285714285714" style="56" customWidth="1"/>
    <col min="6154" max="6154" width="9.42857142857143" style="56" customWidth="1"/>
    <col min="6155" max="6155" width="15.4285714285714" style="56" customWidth="1"/>
    <col min="6156" max="6156" width="9.42857142857143" style="56" customWidth="1"/>
    <col min="6157" max="6400" width="9.14285714285714" style="56"/>
    <col min="6401" max="6401" width="15.8571428571429" style="56" customWidth="1"/>
    <col min="6402" max="6402" width="50.7142857142857" style="56" customWidth="1"/>
    <col min="6403" max="6403" width="20.1428571428571" style="56" customWidth="1"/>
    <col min="6404" max="6405" width="17.7142857142857" style="56" customWidth="1"/>
    <col min="6406" max="6406" width="16.5714285714286" style="56" customWidth="1"/>
    <col min="6407" max="6407" width="15.7142857142857" style="56" customWidth="1"/>
    <col min="6408" max="6408" width="18.4285714285714" style="56" customWidth="1"/>
    <col min="6409" max="6409" width="15.4285714285714" style="56" customWidth="1"/>
    <col min="6410" max="6410" width="9.42857142857143" style="56" customWidth="1"/>
    <col min="6411" max="6411" width="15.4285714285714" style="56" customWidth="1"/>
    <col min="6412" max="6412" width="9.42857142857143" style="56" customWidth="1"/>
    <col min="6413" max="6656" width="9.14285714285714" style="56"/>
    <col min="6657" max="6657" width="15.8571428571429" style="56" customWidth="1"/>
    <col min="6658" max="6658" width="50.7142857142857" style="56" customWidth="1"/>
    <col min="6659" max="6659" width="20.1428571428571" style="56" customWidth="1"/>
    <col min="6660" max="6661" width="17.7142857142857" style="56" customWidth="1"/>
    <col min="6662" max="6662" width="16.5714285714286" style="56" customWidth="1"/>
    <col min="6663" max="6663" width="15.7142857142857" style="56" customWidth="1"/>
    <col min="6664" max="6664" width="18.4285714285714" style="56" customWidth="1"/>
    <col min="6665" max="6665" width="15.4285714285714" style="56" customWidth="1"/>
    <col min="6666" max="6666" width="9.42857142857143" style="56" customWidth="1"/>
    <col min="6667" max="6667" width="15.4285714285714" style="56" customWidth="1"/>
    <col min="6668" max="6668" width="9.42857142857143" style="56" customWidth="1"/>
    <col min="6669" max="6912" width="9.14285714285714" style="56"/>
    <col min="6913" max="6913" width="15.8571428571429" style="56" customWidth="1"/>
    <col min="6914" max="6914" width="50.7142857142857" style="56" customWidth="1"/>
    <col min="6915" max="6915" width="20.1428571428571" style="56" customWidth="1"/>
    <col min="6916" max="6917" width="17.7142857142857" style="56" customWidth="1"/>
    <col min="6918" max="6918" width="16.5714285714286" style="56" customWidth="1"/>
    <col min="6919" max="6919" width="15.7142857142857" style="56" customWidth="1"/>
    <col min="6920" max="6920" width="18.4285714285714" style="56" customWidth="1"/>
    <col min="6921" max="6921" width="15.4285714285714" style="56" customWidth="1"/>
    <col min="6922" max="6922" width="9.42857142857143" style="56" customWidth="1"/>
    <col min="6923" max="6923" width="15.4285714285714" style="56" customWidth="1"/>
    <col min="6924" max="6924" width="9.42857142857143" style="56" customWidth="1"/>
    <col min="6925" max="7168" width="9.14285714285714" style="56"/>
    <col min="7169" max="7169" width="15.8571428571429" style="56" customWidth="1"/>
    <col min="7170" max="7170" width="50.7142857142857" style="56" customWidth="1"/>
    <col min="7171" max="7171" width="20.1428571428571" style="56" customWidth="1"/>
    <col min="7172" max="7173" width="17.7142857142857" style="56" customWidth="1"/>
    <col min="7174" max="7174" width="16.5714285714286" style="56" customWidth="1"/>
    <col min="7175" max="7175" width="15.7142857142857" style="56" customWidth="1"/>
    <col min="7176" max="7176" width="18.4285714285714" style="56" customWidth="1"/>
    <col min="7177" max="7177" width="15.4285714285714" style="56" customWidth="1"/>
    <col min="7178" max="7178" width="9.42857142857143" style="56" customWidth="1"/>
    <col min="7179" max="7179" width="15.4285714285714" style="56" customWidth="1"/>
    <col min="7180" max="7180" width="9.42857142857143" style="56" customWidth="1"/>
    <col min="7181" max="7424" width="9.14285714285714" style="56"/>
    <col min="7425" max="7425" width="15.8571428571429" style="56" customWidth="1"/>
    <col min="7426" max="7426" width="50.7142857142857" style="56" customWidth="1"/>
    <col min="7427" max="7427" width="20.1428571428571" style="56" customWidth="1"/>
    <col min="7428" max="7429" width="17.7142857142857" style="56" customWidth="1"/>
    <col min="7430" max="7430" width="16.5714285714286" style="56" customWidth="1"/>
    <col min="7431" max="7431" width="15.7142857142857" style="56" customWidth="1"/>
    <col min="7432" max="7432" width="18.4285714285714" style="56" customWidth="1"/>
    <col min="7433" max="7433" width="15.4285714285714" style="56" customWidth="1"/>
    <col min="7434" max="7434" width="9.42857142857143" style="56" customWidth="1"/>
    <col min="7435" max="7435" width="15.4285714285714" style="56" customWidth="1"/>
    <col min="7436" max="7436" width="9.42857142857143" style="56" customWidth="1"/>
    <col min="7437" max="7680" width="9.14285714285714" style="56"/>
    <col min="7681" max="7681" width="15.8571428571429" style="56" customWidth="1"/>
    <col min="7682" max="7682" width="50.7142857142857" style="56" customWidth="1"/>
    <col min="7683" max="7683" width="20.1428571428571" style="56" customWidth="1"/>
    <col min="7684" max="7685" width="17.7142857142857" style="56" customWidth="1"/>
    <col min="7686" max="7686" width="16.5714285714286" style="56" customWidth="1"/>
    <col min="7687" max="7687" width="15.7142857142857" style="56" customWidth="1"/>
    <col min="7688" max="7688" width="18.4285714285714" style="56" customWidth="1"/>
    <col min="7689" max="7689" width="15.4285714285714" style="56" customWidth="1"/>
    <col min="7690" max="7690" width="9.42857142857143" style="56" customWidth="1"/>
    <col min="7691" max="7691" width="15.4285714285714" style="56" customWidth="1"/>
    <col min="7692" max="7692" width="9.42857142857143" style="56" customWidth="1"/>
    <col min="7693" max="7936" width="9.14285714285714" style="56"/>
    <col min="7937" max="7937" width="15.8571428571429" style="56" customWidth="1"/>
    <col min="7938" max="7938" width="50.7142857142857" style="56" customWidth="1"/>
    <col min="7939" max="7939" width="20.1428571428571" style="56" customWidth="1"/>
    <col min="7940" max="7941" width="17.7142857142857" style="56" customWidth="1"/>
    <col min="7942" max="7942" width="16.5714285714286" style="56" customWidth="1"/>
    <col min="7943" max="7943" width="15.7142857142857" style="56" customWidth="1"/>
    <col min="7944" max="7944" width="18.4285714285714" style="56" customWidth="1"/>
    <col min="7945" max="7945" width="15.4285714285714" style="56" customWidth="1"/>
    <col min="7946" max="7946" width="9.42857142857143" style="56" customWidth="1"/>
    <col min="7947" max="7947" width="15.4285714285714" style="56" customWidth="1"/>
    <col min="7948" max="7948" width="9.42857142857143" style="56" customWidth="1"/>
    <col min="7949" max="8192" width="9.14285714285714" style="56"/>
    <col min="8193" max="8193" width="15.8571428571429" style="56" customWidth="1"/>
    <col min="8194" max="8194" width="50.7142857142857" style="56" customWidth="1"/>
    <col min="8195" max="8195" width="20.1428571428571" style="56" customWidth="1"/>
    <col min="8196" max="8197" width="17.7142857142857" style="56" customWidth="1"/>
    <col min="8198" max="8198" width="16.5714285714286" style="56" customWidth="1"/>
    <col min="8199" max="8199" width="15.7142857142857" style="56" customWidth="1"/>
    <col min="8200" max="8200" width="18.4285714285714" style="56" customWidth="1"/>
    <col min="8201" max="8201" width="15.4285714285714" style="56" customWidth="1"/>
    <col min="8202" max="8202" width="9.42857142857143" style="56" customWidth="1"/>
    <col min="8203" max="8203" width="15.4285714285714" style="56" customWidth="1"/>
    <col min="8204" max="8204" width="9.42857142857143" style="56" customWidth="1"/>
    <col min="8205" max="8448" width="9.14285714285714" style="56"/>
    <col min="8449" max="8449" width="15.8571428571429" style="56" customWidth="1"/>
    <col min="8450" max="8450" width="50.7142857142857" style="56" customWidth="1"/>
    <col min="8451" max="8451" width="20.1428571428571" style="56" customWidth="1"/>
    <col min="8452" max="8453" width="17.7142857142857" style="56" customWidth="1"/>
    <col min="8454" max="8454" width="16.5714285714286" style="56" customWidth="1"/>
    <col min="8455" max="8455" width="15.7142857142857" style="56" customWidth="1"/>
    <col min="8456" max="8456" width="18.4285714285714" style="56" customWidth="1"/>
    <col min="8457" max="8457" width="15.4285714285714" style="56" customWidth="1"/>
    <col min="8458" max="8458" width="9.42857142857143" style="56" customWidth="1"/>
    <col min="8459" max="8459" width="15.4285714285714" style="56" customWidth="1"/>
    <col min="8460" max="8460" width="9.42857142857143" style="56" customWidth="1"/>
    <col min="8461" max="8704" width="9.14285714285714" style="56"/>
    <col min="8705" max="8705" width="15.8571428571429" style="56" customWidth="1"/>
    <col min="8706" max="8706" width="50.7142857142857" style="56" customWidth="1"/>
    <col min="8707" max="8707" width="20.1428571428571" style="56" customWidth="1"/>
    <col min="8708" max="8709" width="17.7142857142857" style="56" customWidth="1"/>
    <col min="8710" max="8710" width="16.5714285714286" style="56" customWidth="1"/>
    <col min="8711" max="8711" width="15.7142857142857" style="56" customWidth="1"/>
    <col min="8712" max="8712" width="18.4285714285714" style="56" customWidth="1"/>
    <col min="8713" max="8713" width="15.4285714285714" style="56" customWidth="1"/>
    <col min="8714" max="8714" width="9.42857142857143" style="56" customWidth="1"/>
    <col min="8715" max="8715" width="15.4285714285714" style="56" customWidth="1"/>
    <col min="8716" max="8716" width="9.42857142857143" style="56" customWidth="1"/>
    <col min="8717" max="8960" width="9.14285714285714" style="56"/>
    <col min="8961" max="8961" width="15.8571428571429" style="56" customWidth="1"/>
    <col min="8962" max="8962" width="50.7142857142857" style="56" customWidth="1"/>
    <col min="8963" max="8963" width="20.1428571428571" style="56" customWidth="1"/>
    <col min="8964" max="8965" width="17.7142857142857" style="56" customWidth="1"/>
    <col min="8966" max="8966" width="16.5714285714286" style="56" customWidth="1"/>
    <col min="8967" max="8967" width="15.7142857142857" style="56" customWidth="1"/>
    <col min="8968" max="8968" width="18.4285714285714" style="56" customWidth="1"/>
    <col min="8969" max="8969" width="15.4285714285714" style="56" customWidth="1"/>
    <col min="8970" max="8970" width="9.42857142857143" style="56" customWidth="1"/>
    <col min="8971" max="8971" width="15.4285714285714" style="56" customWidth="1"/>
    <col min="8972" max="8972" width="9.42857142857143" style="56" customWidth="1"/>
    <col min="8973" max="9216" width="9.14285714285714" style="56"/>
    <col min="9217" max="9217" width="15.8571428571429" style="56" customWidth="1"/>
    <col min="9218" max="9218" width="50.7142857142857" style="56" customWidth="1"/>
    <col min="9219" max="9219" width="20.1428571428571" style="56" customWidth="1"/>
    <col min="9220" max="9221" width="17.7142857142857" style="56" customWidth="1"/>
    <col min="9222" max="9222" width="16.5714285714286" style="56" customWidth="1"/>
    <col min="9223" max="9223" width="15.7142857142857" style="56" customWidth="1"/>
    <col min="9224" max="9224" width="18.4285714285714" style="56" customWidth="1"/>
    <col min="9225" max="9225" width="15.4285714285714" style="56" customWidth="1"/>
    <col min="9226" max="9226" width="9.42857142857143" style="56" customWidth="1"/>
    <col min="9227" max="9227" width="15.4285714285714" style="56" customWidth="1"/>
    <col min="9228" max="9228" width="9.42857142857143" style="56" customWidth="1"/>
    <col min="9229" max="9472" width="9.14285714285714" style="56"/>
    <col min="9473" max="9473" width="15.8571428571429" style="56" customWidth="1"/>
    <col min="9474" max="9474" width="50.7142857142857" style="56" customWidth="1"/>
    <col min="9475" max="9475" width="20.1428571428571" style="56" customWidth="1"/>
    <col min="9476" max="9477" width="17.7142857142857" style="56" customWidth="1"/>
    <col min="9478" max="9478" width="16.5714285714286" style="56" customWidth="1"/>
    <col min="9479" max="9479" width="15.7142857142857" style="56" customWidth="1"/>
    <col min="9480" max="9480" width="18.4285714285714" style="56" customWidth="1"/>
    <col min="9481" max="9481" width="15.4285714285714" style="56" customWidth="1"/>
    <col min="9482" max="9482" width="9.42857142857143" style="56" customWidth="1"/>
    <col min="9483" max="9483" width="15.4285714285714" style="56" customWidth="1"/>
    <col min="9484" max="9484" width="9.42857142857143" style="56" customWidth="1"/>
    <col min="9485" max="9728" width="9.14285714285714" style="56"/>
    <col min="9729" max="9729" width="15.8571428571429" style="56" customWidth="1"/>
    <col min="9730" max="9730" width="50.7142857142857" style="56" customWidth="1"/>
    <col min="9731" max="9731" width="20.1428571428571" style="56" customWidth="1"/>
    <col min="9732" max="9733" width="17.7142857142857" style="56" customWidth="1"/>
    <col min="9734" max="9734" width="16.5714285714286" style="56" customWidth="1"/>
    <col min="9735" max="9735" width="15.7142857142857" style="56" customWidth="1"/>
    <col min="9736" max="9736" width="18.4285714285714" style="56" customWidth="1"/>
    <col min="9737" max="9737" width="15.4285714285714" style="56" customWidth="1"/>
    <col min="9738" max="9738" width="9.42857142857143" style="56" customWidth="1"/>
    <col min="9739" max="9739" width="15.4285714285714" style="56" customWidth="1"/>
    <col min="9740" max="9740" width="9.42857142857143" style="56" customWidth="1"/>
    <col min="9741" max="9984" width="9.14285714285714" style="56"/>
    <col min="9985" max="9985" width="15.8571428571429" style="56" customWidth="1"/>
    <col min="9986" max="9986" width="50.7142857142857" style="56" customWidth="1"/>
    <col min="9987" max="9987" width="20.1428571428571" style="56" customWidth="1"/>
    <col min="9988" max="9989" width="17.7142857142857" style="56" customWidth="1"/>
    <col min="9990" max="9990" width="16.5714285714286" style="56" customWidth="1"/>
    <col min="9991" max="9991" width="15.7142857142857" style="56" customWidth="1"/>
    <col min="9992" max="9992" width="18.4285714285714" style="56" customWidth="1"/>
    <col min="9993" max="9993" width="15.4285714285714" style="56" customWidth="1"/>
    <col min="9994" max="9994" width="9.42857142857143" style="56" customWidth="1"/>
    <col min="9995" max="9995" width="15.4285714285714" style="56" customWidth="1"/>
    <col min="9996" max="9996" width="9.42857142857143" style="56" customWidth="1"/>
    <col min="9997" max="10240" width="9.14285714285714" style="56"/>
    <col min="10241" max="10241" width="15.8571428571429" style="56" customWidth="1"/>
    <col min="10242" max="10242" width="50.7142857142857" style="56" customWidth="1"/>
    <col min="10243" max="10243" width="20.1428571428571" style="56" customWidth="1"/>
    <col min="10244" max="10245" width="17.7142857142857" style="56" customWidth="1"/>
    <col min="10246" max="10246" width="16.5714285714286" style="56" customWidth="1"/>
    <col min="10247" max="10247" width="15.7142857142857" style="56" customWidth="1"/>
    <col min="10248" max="10248" width="18.4285714285714" style="56" customWidth="1"/>
    <col min="10249" max="10249" width="15.4285714285714" style="56" customWidth="1"/>
    <col min="10250" max="10250" width="9.42857142857143" style="56" customWidth="1"/>
    <col min="10251" max="10251" width="15.4285714285714" style="56" customWidth="1"/>
    <col min="10252" max="10252" width="9.42857142857143" style="56" customWidth="1"/>
    <col min="10253" max="10496" width="9.14285714285714" style="56"/>
    <col min="10497" max="10497" width="15.8571428571429" style="56" customWidth="1"/>
    <col min="10498" max="10498" width="50.7142857142857" style="56" customWidth="1"/>
    <col min="10499" max="10499" width="20.1428571428571" style="56" customWidth="1"/>
    <col min="10500" max="10501" width="17.7142857142857" style="56" customWidth="1"/>
    <col min="10502" max="10502" width="16.5714285714286" style="56" customWidth="1"/>
    <col min="10503" max="10503" width="15.7142857142857" style="56" customWidth="1"/>
    <col min="10504" max="10504" width="18.4285714285714" style="56" customWidth="1"/>
    <col min="10505" max="10505" width="15.4285714285714" style="56" customWidth="1"/>
    <col min="10506" max="10506" width="9.42857142857143" style="56" customWidth="1"/>
    <col min="10507" max="10507" width="15.4285714285714" style="56" customWidth="1"/>
    <col min="10508" max="10508" width="9.42857142857143" style="56" customWidth="1"/>
    <col min="10509" max="10752" width="9.14285714285714" style="56"/>
    <col min="10753" max="10753" width="15.8571428571429" style="56" customWidth="1"/>
    <col min="10754" max="10754" width="50.7142857142857" style="56" customWidth="1"/>
    <col min="10755" max="10755" width="20.1428571428571" style="56" customWidth="1"/>
    <col min="10756" max="10757" width="17.7142857142857" style="56" customWidth="1"/>
    <col min="10758" max="10758" width="16.5714285714286" style="56" customWidth="1"/>
    <col min="10759" max="10759" width="15.7142857142857" style="56" customWidth="1"/>
    <col min="10760" max="10760" width="18.4285714285714" style="56" customWidth="1"/>
    <col min="10761" max="10761" width="15.4285714285714" style="56" customWidth="1"/>
    <col min="10762" max="10762" width="9.42857142857143" style="56" customWidth="1"/>
    <col min="10763" max="10763" width="15.4285714285714" style="56" customWidth="1"/>
    <col min="10764" max="10764" width="9.42857142857143" style="56" customWidth="1"/>
    <col min="10765" max="11008" width="9.14285714285714" style="56"/>
    <col min="11009" max="11009" width="15.8571428571429" style="56" customWidth="1"/>
    <col min="11010" max="11010" width="50.7142857142857" style="56" customWidth="1"/>
    <col min="11011" max="11011" width="20.1428571428571" style="56" customWidth="1"/>
    <col min="11012" max="11013" width="17.7142857142857" style="56" customWidth="1"/>
    <col min="11014" max="11014" width="16.5714285714286" style="56" customWidth="1"/>
    <col min="11015" max="11015" width="15.7142857142857" style="56" customWidth="1"/>
    <col min="11016" max="11016" width="18.4285714285714" style="56" customWidth="1"/>
    <col min="11017" max="11017" width="15.4285714285714" style="56" customWidth="1"/>
    <col min="11018" max="11018" width="9.42857142857143" style="56" customWidth="1"/>
    <col min="11019" max="11019" width="15.4285714285714" style="56" customWidth="1"/>
    <col min="11020" max="11020" width="9.42857142857143" style="56" customWidth="1"/>
    <col min="11021" max="11264" width="9.14285714285714" style="56"/>
    <col min="11265" max="11265" width="15.8571428571429" style="56" customWidth="1"/>
    <col min="11266" max="11266" width="50.7142857142857" style="56" customWidth="1"/>
    <col min="11267" max="11267" width="20.1428571428571" style="56" customWidth="1"/>
    <col min="11268" max="11269" width="17.7142857142857" style="56" customWidth="1"/>
    <col min="11270" max="11270" width="16.5714285714286" style="56" customWidth="1"/>
    <col min="11271" max="11271" width="15.7142857142857" style="56" customWidth="1"/>
    <col min="11272" max="11272" width="18.4285714285714" style="56" customWidth="1"/>
    <col min="11273" max="11273" width="15.4285714285714" style="56" customWidth="1"/>
    <col min="11274" max="11274" width="9.42857142857143" style="56" customWidth="1"/>
    <col min="11275" max="11275" width="15.4285714285714" style="56" customWidth="1"/>
    <col min="11276" max="11276" width="9.42857142857143" style="56" customWidth="1"/>
    <col min="11277" max="11520" width="9.14285714285714" style="56"/>
    <col min="11521" max="11521" width="15.8571428571429" style="56" customWidth="1"/>
    <col min="11522" max="11522" width="50.7142857142857" style="56" customWidth="1"/>
    <col min="11523" max="11523" width="20.1428571428571" style="56" customWidth="1"/>
    <col min="11524" max="11525" width="17.7142857142857" style="56" customWidth="1"/>
    <col min="11526" max="11526" width="16.5714285714286" style="56" customWidth="1"/>
    <col min="11527" max="11527" width="15.7142857142857" style="56" customWidth="1"/>
    <col min="11528" max="11528" width="18.4285714285714" style="56" customWidth="1"/>
    <col min="11529" max="11529" width="15.4285714285714" style="56" customWidth="1"/>
    <col min="11530" max="11530" width="9.42857142857143" style="56" customWidth="1"/>
    <col min="11531" max="11531" width="15.4285714285714" style="56" customWidth="1"/>
    <col min="11532" max="11532" width="9.42857142857143" style="56" customWidth="1"/>
    <col min="11533" max="11776" width="9.14285714285714" style="56"/>
    <col min="11777" max="11777" width="15.8571428571429" style="56" customWidth="1"/>
    <col min="11778" max="11778" width="50.7142857142857" style="56" customWidth="1"/>
    <col min="11779" max="11779" width="20.1428571428571" style="56" customWidth="1"/>
    <col min="11780" max="11781" width="17.7142857142857" style="56" customWidth="1"/>
    <col min="11782" max="11782" width="16.5714285714286" style="56" customWidth="1"/>
    <col min="11783" max="11783" width="15.7142857142857" style="56" customWidth="1"/>
    <col min="11784" max="11784" width="18.4285714285714" style="56" customWidth="1"/>
    <col min="11785" max="11785" width="15.4285714285714" style="56" customWidth="1"/>
    <col min="11786" max="11786" width="9.42857142857143" style="56" customWidth="1"/>
    <col min="11787" max="11787" width="15.4285714285714" style="56" customWidth="1"/>
    <col min="11788" max="11788" width="9.42857142857143" style="56" customWidth="1"/>
    <col min="11789" max="12032" width="9.14285714285714" style="56"/>
    <col min="12033" max="12033" width="15.8571428571429" style="56" customWidth="1"/>
    <col min="12034" max="12034" width="50.7142857142857" style="56" customWidth="1"/>
    <col min="12035" max="12035" width="20.1428571428571" style="56" customWidth="1"/>
    <col min="12036" max="12037" width="17.7142857142857" style="56" customWidth="1"/>
    <col min="12038" max="12038" width="16.5714285714286" style="56" customWidth="1"/>
    <col min="12039" max="12039" width="15.7142857142857" style="56" customWidth="1"/>
    <col min="12040" max="12040" width="18.4285714285714" style="56" customWidth="1"/>
    <col min="12041" max="12041" width="15.4285714285714" style="56" customWidth="1"/>
    <col min="12042" max="12042" width="9.42857142857143" style="56" customWidth="1"/>
    <col min="12043" max="12043" width="15.4285714285714" style="56" customWidth="1"/>
    <col min="12044" max="12044" width="9.42857142857143" style="56" customWidth="1"/>
    <col min="12045" max="12288" width="9.14285714285714" style="56"/>
    <col min="12289" max="12289" width="15.8571428571429" style="56" customWidth="1"/>
    <col min="12290" max="12290" width="50.7142857142857" style="56" customWidth="1"/>
    <col min="12291" max="12291" width="20.1428571428571" style="56" customWidth="1"/>
    <col min="12292" max="12293" width="17.7142857142857" style="56" customWidth="1"/>
    <col min="12294" max="12294" width="16.5714285714286" style="56" customWidth="1"/>
    <col min="12295" max="12295" width="15.7142857142857" style="56" customWidth="1"/>
    <col min="12296" max="12296" width="18.4285714285714" style="56" customWidth="1"/>
    <col min="12297" max="12297" width="15.4285714285714" style="56" customWidth="1"/>
    <col min="12298" max="12298" width="9.42857142857143" style="56" customWidth="1"/>
    <col min="12299" max="12299" width="15.4285714285714" style="56" customWidth="1"/>
    <col min="12300" max="12300" width="9.42857142857143" style="56" customWidth="1"/>
    <col min="12301" max="12544" width="9.14285714285714" style="56"/>
    <col min="12545" max="12545" width="15.8571428571429" style="56" customWidth="1"/>
    <col min="12546" max="12546" width="50.7142857142857" style="56" customWidth="1"/>
    <col min="12547" max="12547" width="20.1428571428571" style="56" customWidth="1"/>
    <col min="12548" max="12549" width="17.7142857142857" style="56" customWidth="1"/>
    <col min="12550" max="12550" width="16.5714285714286" style="56" customWidth="1"/>
    <col min="12551" max="12551" width="15.7142857142857" style="56" customWidth="1"/>
    <col min="12552" max="12552" width="18.4285714285714" style="56" customWidth="1"/>
    <col min="12553" max="12553" width="15.4285714285714" style="56" customWidth="1"/>
    <col min="12554" max="12554" width="9.42857142857143" style="56" customWidth="1"/>
    <col min="12555" max="12555" width="15.4285714285714" style="56" customWidth="1"/>
    <col min="12556" max="12556" width="9.42857142857143" style="56" customWidth="1"/>
    <col min="12557" max="12800" width="9.14285714285714" style="56"/>
    <col min="12801" max="12801" width="15.8571428571429" style="56" customWidth="1"/>
    <col min="12802" max="12802" width="50.7142857142857" style="56" customWidth="1"/>
    <col min="12803" max="12803" width="20.1428571428571" style="56" customWidth="1"/>
    <col min="12804" max="12805" width="17.7142857142857" style="56" customWidth="1"/>
    <col min="12806" max="12806" width="16.5714285714286" style="56" customWidth="1"/>
    <col min="12807" max="12807" width="15.7142857142857" style="56" customWidth="1"/>
    <col min="12808" max="12808" width="18.4285714285714" style="56" customWidth="1"/>
    <col min="12809" max="12809" width="15.4285714285714" style="56" customWidth="1"/>
    <col min="12810" max="12810" width="9.42857142857143" style="56" customWidth="1"/>
    <col min="12811" max="12811" width="15.4285714285714" style="56" customWidth="1"/>
    <col min="12812" max="12812" width="9.42857142857143" style="56" customWidth="1"/>
    <col min="12813" max="13056" width="9.14285714285714" style="56"/>
    <col min="13057" max="13057" width="15.8571428571429" style="56" customWidth="1"/>
    <col min="13058" max="13058" width="50.7142857142857" style="56" customWidth="1"/>
    <col min="13059" max="13059" width="20.1428571428571" style="56" customWidth="1"/>
    <col min="13060" max="13061" width="17.7142857142857" style="56" customWidth="1"/>
    <col min="13062" max="13062" width="16.5714285714286" style="56" customWidth="1"/>
    <col min="13063" max="13063" width="15.7142857142857" style="56" customWidth="1"/>
    <col min="13064" max="13064" width="18.4285714285714" style="56" customWidth="1"/>
    <col min="13065" max="13065" width="15.4285714285714" style="56" customWidth="1"/>
    <col min="13066" max="13066" width="9.42857142857143" style="56" customWidth="1"/>
    <col min="13067" max="13067" width="15.4285714285714" style="56" customWidth="1"/>
    <col min="13068" max="13068" width="9.42857142857143" style="56" customWidth="1"/>
    <col min="13069" max="13312" width="9.14285714285714" style="56"/>
    <col min="13313" max="13313" width="15.8571428571429" style="56" customWidth="1"/>
    <col min="13314" max="13314" width="50.7142857142857" style="56" customWidth="1"/>
    <col min="13315" max="13315" width="20.1428571428571" style="56" customWidth="1"/>
    <col min="13316" max="13317" width="17.7142857142857" style="56" customWidth="1"/>
    <col min="13318" max="13318" width="16.5714285714286" style="56" customWidth="1"/>
    <col min="13319" max="13319" width="15.7142857142857" style="56" customWidth="1"/>
    <col min="13320" max="13320" width="18.4285714285714" style="56" customWidth="1"/>
    <col min="13321" max="13321" width="15.4285714285714" style="56" customWidth="1"/>
    <col min="13322" max="13322" width="9.42857142857143" style="56" customWidth="1"/>
    <col min="13323" max="13323" width="15.4285714285714" style="56" customWidth="1"/>
    <col min="13324" max="13324" width="9.42857142857143" style="56" customWidth="1"/>
    <col min="13325" max="13568" width="9.14285714285714" style="56"/>
    <col min="13569" max="13569" width="15.8571428571429" style="56" customWidth="1"/>
    <col min="13570" max="13570" width="50.7142857142857" style="56" customWidth="1"/>
    <col min="13571" max="13571" width="20.1428571428571" style="56" customWidth="1"/>
    <col min="13572" max="13573" width="17.7142857142857" style="56" customWidth="1"/>
    <col min="13574" max="13574" width="16.5714285714286" style="56" customWidth="1"/>
    <col min="13575" max="13575" width="15.7142857142857" style="56" customWidth="1"/>
    <col min="13576" max="13576" width="18.4285714285714" style="56" customWidth="1"/>
    <col min="13577" max="13577" width="15.4285714285714" style="56" customWidth="1"/>
    <col min="13578" max="13578" width="9.42857142857143" style="56" customWidth="1"/>
    <col min="13579" max="13579" width="15.4285714285714" style="56" customWidth="1"/>
    <col min="13580" max="13580" width="9.42857142857143" style="56" customWidth="1"/>
    <col min="13581" max="13824" width="9.14285714285714" style="56"/>
    <col min="13825" max="13825" width="15.8571428571429" style="56" customWidth="1"/>
    <col min="13826" max="13826" width="50.7142857142857" style="56" customWidth="1"/>
    <col min="13827" max="13827" width="20.1428571428571" style="56" customWidth="1"/>
    <col min="13828" max="13829" width="17.7142857142857" style="56" customWidth="1"/>
    <col min="13830" max="13830" width="16.5714285714286" style="56" customWidth="1"/>
    <col min="13831" max="13831" width="15.7142857142857" style="56" customWidth="1"/>
    <col min="13832" max="13832" width="18.4285714285714" style="56" customWidth="1"/>
    <col min="13833" max="13833" width="15.4285714285714" style="56" customWidth="1"/>
    <col min="13834" max="13834" width="9.42857142857143" style="56" customWidth="1"/>
    <col min="13835" max="13835" width="15.4285714285714" style="56" customWidth="1"/>
    <col min="13836" max="13836" width="9.42857142857143" style="56" customWidth="1"/>
    <col min="13837" max="14080" width="9.14285714285714" style="56"/>
    <col min="14081" max="14081" width="15.8571428571429" style="56" customWidth="1"/>
    <col min="14082" max="14082" width="50.7142857142857" style="56" customWidth="1"/>
    <col min="14083" max="14083" width="20.1428571428571" style="56" customWidth="1"/>
    <col min="14084" max="14085" width="17.7142857142857" style="56" customWidth="1"/>
    <col min="14086" max="14086" width="16.5714285714286" style="56" customWidth="1"/>
    <col min="14087" max="14087" width="15.7142857142857" style="56" customWidth="1"/>
    <col min="14088" max="14088" width="18.4285714285714" style="56" customWidth="1"/>
    <col min="14089" max="14089" width="15.4285714285714" style="56" customWidth="1"/>
    <col min="14090" max="14090" width="9.42857142857143" style="56" customWidth="1"/>
    <col min="14091" max="14091" width="15.4285714285714" style="56" customWidth="1"/>
    <col min="14092" max="14092" width="9.42857142857143" style="56" customWidth="1"/>
    <col min="14093" max="14336" width="9.14285714285714" style="56"/>
    <col min="14337" max="14337" width="15.8571428571429" style="56" customWidth="1"/>
    <col min="14338" max="14338" width="50.7142857142857" style="56" customWidth="1"/>
    <col min="14339" max="14339" width="20.1428571428571" style="56" customWidth="1"/>
    <col min="14340" max="14341" width="17.7142857142857" style="56" customWidth="1"/>
    <col min="14342" max="14342" width="16.5714285714286" style="56" customWidth="1"/>
    <col min="14343" max="14343" width="15.7142857142857" style="56" customWidth="1"/>
    <col min="14344" max="14344" width="18.4285714285714" style="56" customWidth="1"/>
    <col min="14345" max="14345" width="15.4285714285714" style="56" customWidth="1"/>
    <col min="14346" max="14346" width="9.42857142857143" style="56" customWidth="1"/>
    <col min="14347" max="14347" width="15.4285714285714" style="56" customWidth="1"/>
    <col min="14348" max="14348" width="9.42857142857143" style="56" customWidth="1"/>
    <col min="14349" max="14592" width="9.14285714285714" style="56"/>
    <col min="14593" max="14593" width="15.8571428571429" style="56" customWidth="1"/>
    <col min="14594" max="14594" width="50.7142857142857" style="56" customWidth="1"/>
    <col min="14595" max="14595" width="20.1428571428571" style="56" customWidth="1"/>
    <col min="14596" max="14597" width="17.7142857142857" style="56" customWidth="1"/>
    <col min="14598" max="14598" width="16.5714285714286" style="56" customWidth="1"/>
    <col min="14599" max="14599" width="15.7142857142857" style="56" customWidth="1"/>
    <col min="14600" max="14600" width="18.4285714285714" style="56" customWidth="1"/>
    <col min="14601" max="14601" width="15.4285714285714" style="56" customWidth="1"/>
    <col min="14602" max="14602" width="9.42857142857143" style="56" customWidth="1"/>
    <col min="14603" max="14603" width="15.4285714285714" style="56" customWidth="1"/>
    <col min="14604" max="14604" width="9.42857142857143" style="56" customWidth="1"/>
    <col min="14605" max="14848" width="9.14285714285714" style="56"/>
    <col min="14849" max="14849" width="15.8571428571429" style="56" customWidth="1"/>
    <col min="14850" max="14850" width="50.7142857142857" style="56" customWidth="1"/>
    <col min="14851" max="14851" width="20.1428571428571" style="56" customWidth="1"/>
    <col min="14852" max="14853" width="17.7142857142857" style="56" customWidth="1"/>
    <col min="14854" max="14854" width="16.5714285714286" style="56" customWidth="1"/>
    <col min="14855" max="14855" width="15.7142857142857" style="56" customWidth="1"/>
    <col min="14856" max="14856" width="18.4285714285714" style="56" customWidth="1"/>
    <col min="14857" max="14857" width="15.4285714285714" style="56" customWidth="1"/>
    <col min="14858" max="14858" width="9.42857142857143" style="56" customWidth="1"/>
    <col min="14859" max="14859" width="15.4285714285714" style="56" customWidth="1"/>
    <col min="14860" max="14860" width="9.42857142857143" style="56" customWidth="1"/>
    <col min="14861" max="15104" width="9.14285714285714" style="56"/>
    <col min="15105" max="15105" width="15.8571428571429" style="56" customWidth="1"/>
    <col min="15106" max="15106" width="50.7142857142857" style="56" customWidth="1"/>
    <col min="15107" max="15107" width="20.1428571428571" style="56" customWidth="1"/>
    <col min="15108" max="15109" width="17.7142857142857" style="56" customWidth="1"/>
    <col min="15110" max="15110" width="16.5714285714286" style="56" customWidth="1"/>
    <col min="15111" max="15111" width="15.7142857142857" style="56" customWidth="1"/>
    <col min="15112" max="15112" width="18.4285714285714" style="56" customWidth="1"/>
    <col min="15113" max="15113" width="15.4285714285714" style="56" customWidth="1"/>
    <col min="15114" max="15114" width="9.42857142857143" style="56" customWidth="1"/>
    <col min="15115" max="15115" width="15.4285714285714" style="56" customWidth="1"/>
    <col min="15116" max="15116" width="9.42857142857143" style="56" customWidth="1"/>
    <col min="15117" max="15360" width="9.14285714285714" style="56"/>
    <col min="15361" max="15361" width="15.8571428571429" style="56" customWidth="1"/>
    <col min="15362" max="15362" width="50.7142857142857" style="56" customWidth="1"/>
    <col min="15363" max="15363" width="20.1428571428571" style="56" customWidth="1"/>
    <col min="15364" max="15365" width="17.7142857142857" style="56" customWidth="1"/>
    <col min="15366" max="15366" width="16.5714285714286" style="56" customWidth="1"/>
    <col min="15367" max="15367" width="15.7142857142857" style="56" customWidth="1"/>
    <col min="15368" max="15368" width="18.4285714285714" style="56" customWidth="1"/>
    <col min="15369" max="15369" width="15.4285714285714" style="56" customWidth="1"/>
    <col min="15370" max="15370" width="9.42857142857143" style="56" customWidth="1"/>
    <col min="15371" max="15371" width="15.4285714285714" style="56" customWidth="1"/>
    <col min="15372" max="15372" width="9.42857142857143" style="56" customWidth="1"/>
    <col min="15373" max="15616" width="9.14285714285714" style="56"/>
    <col min="15617" max="15617" width="15.8571428571429" style="56" customWidth="1"/>
    <col min="15618" max="15618" width="50.7142857142857" style="56" customWidth="1"/>
    <col min="15619" max="15619" width="20.1428571428571" style="56" customWidth="1"/>
    <col min="15620" max="15621" width="17.7142857142857" style="56" customWidth="1"/>
    <col min="15622" max="15622" width="16.5714285714286" style="56" customWidth="1"/>
    <col min="15623" max="15623" width="15.7142857142857" style="56" customWidth="1"/>
    <col min="15624" max="15624" width="18.4285714285714" style="56" customWidth="1"/>
    <col min="15625" max="15625" width="15.4285714285714" style="56" customWidth="1"/>
    <col min="15626" max="15626" width="9.42857142857143" style="56" customWidth="1"/>
    <col min="15627" max="15627" width="15.4285714285714" style="56" customWidth="1"/>
    <col min="15628" max="15628" width="9.42857142857143" style="56" customWidth="1"/>
    <col min="15629" max="15872" width="9.14285714285714" style="56"/>
    <col min="15873" max="15873" width="15.8571428571429" style="56" customWidth="1"/>
    <col min="15874" max="15874" width="50.7142857142857" style="56" customWidth="1"/>
    <col min="15875" max="15875" width="20.1428571428571" style="56" customWidth="1"/>
    <col min="15876" max="15877" width="17.7142857142857" style="56" customWidth="1"/>
    <col min="15878" max="15878" width="16.5714285714286" style="56" customWidth="1"/>
    <col min="15879" max="15879" width="15.7142857142857" style="56" customWidth="1"/>
    <col min="15880" max="15880" width="18.4285714285714" style="56" customWidth="1"/>
    <col min="15881" max="15881" width="15.4285714285714" style="56" customWidth="1"/>
    <col min="15882" max="15882" width="9.42857142857143" style="56" customWidth="1"/>
    <col min="15883" max="15883" width="15.4285714285714" style="56" customWidth="1"/>
    <col min="15884" max="15884" width="9.42857142857143" style="56" customWidth="1"/>
    <col min="15885" max="16128" width="9.14285714285714" style="56"/>
    <col min="16129" max="16129" width="15.8571428571429" style="56" customWidth="1"/>
    <col min="16130" max="16130" width="50.7142857142857" style="56" customWidth="1"/>
    <col min="16131" max="16131" width="20.1428571428571" style="56" customWidth="1"/>
    <col min="16132" max="16133" width="17.7142857142857" style="56" customWidth="1"/>
    <col min="16134" max="16134" width="16.5714285714286" style="56" customWidth="1"/>
    <col min="16135" max="16135" width="15.7142857142857" style="56" customWidth="1"/>
    <col min="16136" max="16136" width="18.4285714285714" style="56" customWidth="1"/>
    <col min="16137" max="16137" width="15.4285714285714" style="56" customWidth="1"/>
    <col min="16138" max="16138" width="9.42857142857143" style="56" customWidth="1"/>
    <col min="16139" max="16139" width="15.4285714285714" style="56" customWidth="1"/>
    <col min="16140" max="16140" width="9.42857142857143" style="56" customWidth="1"/>
    <col min="16141" max="16384" width="9.14285714285714" style="56"/>
  </cols>
  <sheetData>
    <row r="1" ht="18" hidden="1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80"/>
      <c r="M1" s="80"/>
      <c r="N1" s="80"/>
      <c r="O1" s="80"/>
    </row>
    <row r="2" ht="15.75" hidden="1" customHeight="1" spans="1: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80"/>
      <c r="M2" s="80"/>
      <c r="N2" s="80"/>
      <c r="O2" s="80"/>
    </row>
    <row r="3" ht="18" hidden="1" customHeight="1" spans="1:15">
      <c r="A3" s="60"/>
      <c r="B3" s="60"/>
      <c r="C3" s="60"/>
      <c r="D3" s="60"/>
      <c r="E3" s="60"/>
      <c r="F3" s="60"/>
      <c r="G3" s="60"/>
      <c r="H3" s="60"/>
      <c r="I3" s="81"/>
      <c r="J3" s="81"/>
      <c r="K3" s="81"/>
      <c r="L3" s="80"/>
      <c r="M3" s="80"/>
      <c r="N3" s="80"/>
      <c r="O3" s="80"/>
    </row>
    <row r="4" ht="18" spans="1:15">
      <c r="A4" s="60"/>
      <c r="B4" s="60"/>
      <c r="C4" s="60"/>
      <c r="D4" s="60"/>
      <c r="E4" s="60"/>
      <c r="F4" s="60"/>
      <c r="G4" s="60"/>
      <c r="H4" s="60"/>
      <c r="I4" s="81"/>
      <c r="J4" s="81"/>
      <c r="K4" s="81"/>
      <c r="L4" s="80"/>
      <c r="M4" s="80"/>
      <c r="N4" s="80"/>
      <c r="O4" s="80"/>
    </row>
    <row r="5" ht="15.75" customHeight="1" spans="1:15">
      <c r="A5" s="61" t="s">
        <v>559</v>
      </c>
      <c r="B5" s="61"/>
      <c r="C5" s="61"/>
      <c r="D5" s="61"/>
      <c r="E5" s="61"/>
      <c r="F5" s="61"/>
      <c r="G5" s="61"/>
      <c r="H5" s="61"/>
      <c r="I5" s="82"/>
      <c r="J5" s="82"/>
      <c r="K5" s="82"/>
      <c r="L5" s="80"/>
      <c r="M5" s="80"/>
      <c r="N5" s="80"/>
      <c r="O5" s="80"/>
    </row>
    <row r="6" ht="18" spans="1:15">
      <c r="A6" s="60"/>
      <c r="B6" s="60"/>
      <c r="C6" s="60"/>
      <c r="D6" s="60"/>
      <c r="E6" s="60"/>
      <c r="F6" s="60"/>
      <c r="G6" s="60"/>
      <c r="H6" s="60"/>
      <c r="I6" s="81"/>
      <c r="J6" s="81"/>
      <c r="K6" s="81"/>
      <c r="L6" s="80"/>
      <c r="M6" s="80"/>
      <c r="N6" s="80"/>
      <c r="O6" s="80"/>
    </row>
    <row r="7" s="54" customFormat="1" ht="57" spans="1:15">
      <c r="A7" s="62" t="s">
        <v>4</v>
      </c>
      <c r="B7" s="62"/>
      <c r="C7" s="63" t="s">
        <v>33</v>
      </c>
      <c r="D7" s="63" t="s">
        <v>34</v>
      </c>
      <c r="E7" s="63" t="s">
        <v>35</v>
      </c>
      <c r="F7" s="63" t="s">
        <v>36</v>
      </c>
      <c r="G7" s="63" t="s">
        <v>37</v>
      </c>
      <c r="H7" s="63" t="s">
        <v>38</v>
      </c>
      <c r="I7" s="83"/>
      <c r="J7" s="83"/>
      <c r="K7" s="83"/>
      <c r="L7" s="83"/>
      <c r="M7" s="83"/>
      <c r="N7" s="83"/>
      <c r="O7" s="83"/>
    </row>
    <row r="8" s="55" customFormat="1" spans="1:15">
      <c r="A8" s="64">
        <v>1</v>
      </c>
      <c r="B8" s="64"/>
      <c r="C8" s="65">
        <v>2</v>
      </c>
      <c r="D8" s="65">
        <v>3</v>
      </c>
      <c r="E8" s="65">
        <v>4.33333333333333</v>
      </c>
      <c r="F8" s="65">
        <v>5.08333333333333</v>
      </c>
      <c r="G8" s="65">
        <v>6</v>
      </c>
      <c r="H8" s="65">
        <v>7</v>
      </c>
      <c r="I8" s="84"/>
      <c r="J8" s="84"/>
      <c r="K8" s="84"/>
      <c r="L8" s="84"/>
      <c r="M8" s="85"/>
      <c r="N8" s="85"/>
      <c r="O8" s="85"/>
    </row>
    <row r="9" customHeight="1" spans="1:15">
      <c r="A9" s="235" t="s">
        <v>517</v>
      </c>
      <c r="B9" s="235" t="s">
        <v>40</v>
      </c>
      <c r="C9" s="236" t="s">
        <v>41</v>
      </c>
      <c r="D9" s="236" t="s">
        <v>41</v>
      </c>
      <c r="E9" s="236" t="s">
        <v>41</v>
      </c>
      <c r="F9" s="236" t="s">
        <v>41</v>
      </c>
      <c r="G9" s="236" t="s">
        <v>40</v>
      </c>
      <c r="H9" s="236" t="s">
        <v>40</v>
      </c>
      <c r="I9" s="86"/>
      <c r="J9" s="86"/>
      <c r="K9" s="86"/>
      <c r="L9" s="86"/>
      <c r="M9" s="87"/>
      <c r="N9" s="87"/>
      <c r="O9" s="87"/>
    </row>
    <row r="10" spans="1:15">
      <c r="A10" s="231" t="s">
        <v>560</v>
      </c>
      <c r="B10" s="232" t="s">
        <v>40</v>
      </c>
      <c r="C10" s="70">
        <f t="shared" ref="C10:F11" si="0">+C11</f>
        <v>0</v>
      </c>
      <c r="D10" s="71">
        <f t="shared" si="0"/>
        <v>0</v>
      </c>
      <c r="E10" s="71">
        <f t="shared" si="0"/>
        <v>0</v>
      </c>
      <c r="F10" s="70">
        <f t="shared" si="0"/>
        <v>0</v>
      </c>
      <c r="G10" s="70" t="e">
        <f t="shared" ref="G10:G19" si="1">+F10/C10*100</f>
        <v>#DIV/0!</v>
      </c>
      <c r="H10" s="70" t="e">
        <f t="shared" ref="H10:H19" si="2">+F10/E10*100</f>
        <v>#DIV/0!</v>
      </c>
      <c r="I10" s="86"/>
      <c r="J10" s="86"/>
      <c r="K10" s="86"/>
      <c r="L10" s="86"/>
      <c r="M10" s="87"/>
      <c r="N10" s="87"/>
      <c r="O10" s="87"/>
    </row>
    <row r="11" spans="1:15">
      <c r="A11" s="233" t="s">
        <v>383</v>
      </c>
      <c r="B11" s="220" t="s">
        <v>482</v>
      </c>
      <c r="C11" s="74">
        <f t="shared" si="0"/>
        <v>0</v>
      </c>
      <c r="D11" s="75">
        <f t="shared" si="0"/>
        <v>0</v>
      </c>
      <c r="E11" s="75">
        <f t="shared" si="0"/>
        <v>0</v>
      </c>
      <c r="F11" s="74">
        <f t="shared" si="0"/>
        <v>0</v>
      </c>
      <c r="G11" s="74" t="e">
        <f t="shared" si="1"/>
        <v>#DIV/0!</v>
      </c>
      <c r="H11" s="74" t="e">
        <f t="shared" si="2"/>
        <v>#DIV/0!</v>
      </c>
      <c r="I11" s="86"/>
      <c r="J11" s="86"/>
      <c r="K11" s="86"/>
      <c r="L11" s="86"/>
      <c r="M11" s="87"/>
      <c r="N11" s="87"/>
      <c r="O11" s="87"/>
    </row>
    <row r="12" spans="1:15">
      <c r="A12" s="234" t="s">
        <v>443</v>
      </c>
      <c r="B12" s="228" t="s">
        <v>483</v>
      </c>
      <c r="C12" s="78">
        <v>0</v>
      </c>
      <c r="D12" s="79">
        <v>0</v>
      </c>
      <c r="E12" s="79">
        <v>0</v>
      </c>
      <c r="F12" s="78">
        <v>0</v>
      </c>
      <c r="G12" s="78" t="e">
        <f t="shared" si="1"/>
        <v>#DIV/0!</v>
      </c>
      <c r="H12" s="78" t="e">
        <f t="shared" si="2"/>
        <v>#DIV/0!</v>
      </c>
      <c r="I12" s="86"/>
      <c r="J12" s="86"/>
      <c r="K12" s="86"/>
      <c r="L12" s="86"/>
      <c r="M12" s="87"/>
      <c r="N12" s="87"/>
      <c r="O12" s="87"/>
    </row>
    <row r="13" spans="1:15">
      <c r="A13" s="231" t="s">
        <v>561</v>
      </c>
      <c r="B13" s="232" t="s">
        <v>40</v>
      </c>
      <c r="C13" s="70">
        <f>+C14+C16+C18</f>
        <v>0</v>
      </c>
      <c r="D13" s="71">
        <f>+D14+D16+D18</f>
        <v>0</v>
      </c>
      <c r="E13" s="71">
        <f>+E14+E16+E18</f>
        <v>0</v>
      </c>
      <c r="F13" s="70">
        <f>+F14+F16+F18</f>
        <v>0</v>
      </c>
      <c r="G13" s="70" t="e">
        <f t="shared" si="1"/>
        <v>#DIV/0!</v>
      </c>
      <c r="H13" s="70" t="e">
        <f t="shared" si="2"/>
        <v>#DIV/0!</v>
      </c>
      <c r="I13" s="86"/>
      <c r="J13" s="86"/>
      <c r="K13" s="86"/>
      <c r="L13" s="86"/>
      <c r="M13" s="87"/>
      <c r="N13" s="87"/>
      <c r="O13" s="87"/>
    </row>
    <row r="14" spans="1:15">
      <c r="A14" s="233" t="s">
        <v>189</v>
      </c>
      <c r="B14" s="220" t="s">
        <v>481</v>
      </c>
      <c r="C14" s="74">
        <f>+C15</f>
        <v>0</v>
      </c>
      <c r="D14" s="75">
        <f>+D15</f>
        <v>0</v>
      </c>
      <c r="E14" s="75">
        <f>+E15</f>
        <v>0</v>
      </c>
      <c r="F14" s="74">
        <f>+F15</f>
        <v>0</v>
      </c>
      <c r="G14" s="74" t="e">
        <f t="shared" si="1"/>
        <v>#DIV/0!</v>
      </c>
      <c r="H14" s="74" t="e">
        <f t="shared" si="2"/>
        <v>#DIV/0!</v>
      </c>
      <c r="I14" s="86"/>
      <c r="J14" s="86"/>
      <c r="K14" s="86"/>
      <c r="L14" s="86"/>
      <c r="M14" s="87"/>
      <c r="N14" s="87"/>
      <c r="O14" s="87"/>
    </row>
    <row r="15" spans="1:15">
      <c r="A15" s="234" t="s">
        <v>191</v>
      </c>
      <c r="B15" s="228" t="s">
        <v>481</v>
      </c>
      <c r="C15" s="78">
        <v>0</v>
      </c>
      <c r="D15" s="79">
        <v>0</v>
      </c>
      <c r="E15" s="79">
        <v>0</v>
      </c>
      <c r="F15" s="78">
        <v>0</v>
      </c>
      <c r="G15" s="78" t="e">
        <f t="shared" si="1"/>
        <v>#DIV/0!</v>
      </c>
      <c r="H15" s="78" t="e">
        <f t="shared" si="2"/>
        <v>#DIV/0!</v>
      </c>
      <c r="I15" s="87"/>
      <c r="J15" s="87"/>
      <c r="K15" s="87"/>
      <c r="L15" s="87"/>
      <c r="M15" s="87"/>
      <c r="N15" s="87"/>
      <c r="O15" s="87"/>
    </row>
    <row r="16" spans="1:15">
      <c r="A16" s="233" t="s">
        <v>383</v>
      </c>
      <c r="B16" s="220" t="s">
        <v>482</v>
      </c>
      <c r="C16" s="74">
        <f>+C17</f>
        <v>0</v>
      </c>
      <c r="D16" s="75">
        <f>+D17</f>
        <v>0</v>
      </c>
      <c r="E16" s="75">
        <f>+E17</f>
        <v>0</v>
      </c>
      <c r="F16" s="74">
        <f>+F17</f>
        <v>0</v>
      </c>
      <c r="G16" s="74" t="e">
        <f t="shared" si="1"/>
        <v>#DIV/0!</v>
      </c>
      <c r="H16" s="74" t="e">
        <f t="shared" si="2"/>
        <v>#DIV/0!</v>
      </c>
      <c r="I16" s="86"/>
      <c r="J16" s="86"/>
      <c r="K16" s="86"/>
      <c r="L16" s="86"/>
      <c r="M16" s="87"/>
      <c r="N16" s="87"/>
      <c r="O16" s="87"/>
    </row>
    <row r="17" spans="1:15">
      <c r="A17" s="234" t="s">
        <v>443</v>
      </c>
      <c r="B17" s="228" t="s">
        <v>483</v>
      </c>
      <c r="C17" s="78">
        <v>0</v>
      </c>
      <c r="D17" s="79">
        <v>0</v>
      </c>
      <c r="E17" s="79">
        <v>0</v>
      </c>
      <c r="F17" s="78">
        <v>0</v>
      </c>
      <c r="G17" s="78" t="e">
        <f t="shared" si="1"/>
        <v>#DIV/0!</v>
      </c>
      <c r="H17" s="78" t="e">
        <f t="shared" si="2"/>
        <v>#DIV/0!</v>
      </c>
      <c r="I17" s="87"/>
      <c r="J17" s="87"/>
      <c r="K17" s="87"/>
      <c r="L17" s="87"/>
      <c r="M17" s="87"/>
      <c r="N17" s="87"/>
      <c r="O17" s="87"/>
    </row>
    <row r="18" spans="1:15">
      <c r="A18" s="233" t="s">
        <v>484</v>
      </c>
      <c r="B18" s="220" t="s">
        <v>485</v>
      </c>
      <c r="C18" s="74">
        <f>+C19</f>
        <v>0</v>
      </c>
      <c r="D18" s="75">
        <f>+D19</f>
        <v>0</v>
      </c>
      <c r="E18" s="75">
        <f>+E19</f>
        <v>0</v>
      </c>
      <c r="F18" s="74">
        <f>+F19</f>
        <v>0</v>
      </c>
      <c r="G18" s="74" t="e">
        <f t="shared" si="1"/>
        <v>#DIV/0!</v>
      </c>
      <c r="H18" s="74" t="e">
        <f t="shared" si="2"/>
        <v>#DIV/0!</v>
      </c>
      <c r="I18" s="86"/>
      <c r="J18" s="86"/>
      <c r="K18" s="86"/>
      <c r="L18" s="86"/>
      <c r="M18" s="87"/>
      <c r="N18" s="87"/>
      <c r="O18" s="87"/>
    </row>
    <row r="19" spans="1:15">
      <c r="A19" s="234" t="s">
        <v>488</v>
      </c>
      <c r="B19" s="228" t="s">
        <v>489</v>
      </c>
      <c r="C19" s="78"/>
      <c r="D19" s="79"/>
      <c r="E19" s="79"/>
      <c r="F19" s="78"/>
      <c r="G19" s="78" t="e">
        <f t="shared" si="1"/>
        <v>#DIV/0!</v>
      </c>
      <c r="H19" s="78" t="e">
        <f t="shared" si="2"/>
        <v>#DIV/0!</v>
      </c>
      <c r="I19" s="87"/>
      <c r="J19" s="87"/>
      <c r="K19" s="87"/>
      <c r="L19" s="87"/>
      <c r="M19" s="87"/>
      <c r="N19" s="87"/>
      <c r="O19" s="87"/>
    </row>
  </sheetData>
  <mergeCells count="4">
    <mergeCell ref="A2:K2"/>
    <mergeCell ref="A5:H5"/>
    <mergeCell ref="A7:B7"/>
    <mergeCell ref="A8:B8"/>
  </mergeCells>
  <pageMargins left="0.7" right="0.7" top="0.75" bottom="0.75" header="0.3" footer="0.3"/>
  <pageSetup paperSize="9" scale="9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6"/>
  <sheetViews>
    <sheetView topLeftCell="A15" workbookViewId="0">
      <selection activeCell="M42" sqref="M42"/>
    </sheetView>
  </sheetViews>
  <sheetFormatPr defaultColWidth="9.14285714285714" defaultRowHeight="15" outlineLevelCol="7"/>
  <cols>
    <col min="1" max="1" width="17.2857142857143" style="8" customWidth="1"/>
    <col min="2" max="2" width="68.1428571428571" style="9" customWidth="1"/>
    <col min="3" max="6" width="13.2857142857143" style="9" customWidth="1"/>
    <col min="7" max="7" width="19.8571428571429" style="10" customWidth="1"/>
    <col min="8" max="8" width="20.8571428571429" style="11" customWidth="1"/>
    <col min="9" max="16383" width="9.14285714285714" style="11"/>
    <col min="16384" max="16384" width="9.14285714285714" style="12"/>
  </cols>
  <sheetData>
    <row r="1" s="1" customFormat="1" ht="15.75" spans="1:7">
      <c r="A1" s="13" t="s">
        <v>562</v>
      </c>
      <c r="B1" s="13"/>
      <c r="C1" s="13"/>
      <c r="D1" s="13"/>
      <c r="E1" s="13"/>
      <c r="F1" s="13"/>
      <c r="G1" s="14"/>
    </row>
    <row r="2" s="1" customFormat="1" ht="15.75" spans="1:7">
      <c r="A2" s="13" t="s">
        <v>563</v>
      </c>
      <c r="B2" s="13"/>
      <c r="C2" s="13"/>
      <c r="D2" s="13"/>
      <c r="E2" s="13"/>
      <c r="F2" s="13"/>
      <c r="G2" s="14"/>
    </row>
    <row r="3" s="2" customFormat="1" ht="15.75" spans="1:7">
      <c r="A3" s="13" t="s">
        <v>564</v>
      </c>
      <c r="B3" s="13"/>
      <c r="C3" s="13"/>
      <c r="D3" s="13"/>
      <c r="E3" s="13"/>
      <c r="F3" s="13"/>
      <c r="G3" s="15"/>
    </row>
    <row r="4" s="3" customFormat="1" ht="15.75" spans="1:7">
      <c r="A4" s="13" t="s">
        <v>565</v>
      </c>
      <c r="B4" s="13"/>
      <c r="C4" s="13"/>
      <c r="D4" s="13"/>
      <c r="E4" s="13"/>
      <c r="F4" s="13"/>
      <c r="G4" s="16"/>
    </row>
    <row r="5" s="3" customFormat="1" ht="15.75" spans="1:7">
      <c r="A5" s="13" t="s">
        <v>566</v>
      </c>
      <c r="B5" s="13"/>
      <c r="C5" s="13"/>
      <c r="D5" s="13"/>
      <c r="E5" s="13"/>
      <c r="F5" s="13"/>
      <c r="G5" s="16"/>
    </row>
    <row r="6" s="4" customFormat="1" spans="1:7">
      <c r="A6" s="17"/>
      <c r="B6" s="18"/>
      <c r="C6" s="17"/>
      <c r="D6" s="17"/>
      <c r="E6" s="17"/>
      <c r="F6" s="17"/>
      <c r="G6" s="19"/>
    </row>
    <row r="7" s="4" customFormat="1" ht="21" spans="1:7">
      <c r="A7" s="20" t="s">
        <v>567</v>
      </c>
      <c r="B7" s="20"/>
      <c r="C7" s="20"/>
      <c r="D7" s="20"/>
      <c r="E7" s="20"/>
      <c r="F7" s="20"/>
      <c r="G7" s="10"/>
    </row>
    <row r="8" s="4" customFormat="1" ht="21" spans="1:7">
      <c r="A8" s="20" t="s">
        <v>568</v>
      </c>
      <c r="B8" s="20"/>
      <c r="C8" s="20"/>
      <c r="D8" s="20"/>
      <c r="E8" s="20"/>
      <c r="F8" s="20"/>
      <c r="G8" s="19"/>
    </row>
    <row r="9" s="4" customFormat="1" spans="1:7">
      <c r="A9" s="8"/>
      <c r="B9" s="9"/>
      <c r="C9" s="9"/>
      <c r="D9" s="9"/>
      <c r="E9" s="9"/>
      <c r="F9" s="9"/>
      <c r="G9" s="10"/>
    </row>
    <row r="10" s="4" customFormat="1" spans="1:7">
      <c r="A10" s="8"/>
      <c r="B10" s="9"/>
      <c r="C10" s="9"/>
      <c r="D10" s="9"/>
      <c r="E10" s="9"/>
      <c r="F10" s="9"/>
      <c r="G10" s="19"/>
    </row>
    <row r="11" s="3" customFormat="1" ht="51" spans="1:7">
      <c r="A11" s="21">
        <v>2063</v>
      </c>
      <c r="B11" s="237" t="s">
        <v>569</v>
      </c>
      <c r="C11" s="237" t="s">
        <v>570</v>
      </c>
      <c r="D11" s="237" t="s">
        <v>571</v>
      </c>
      <c r="E11" s="22" t="s">
        <v>35</v>
      </c>
      <c r="F11" s="22" t="s">
        <v>9</v>
      </c>
      <c r="G11" s="16"/>
    </row>
    <row r="12" s="5" customFormat="1" ht="12" spans="1:7">
      <c r="A12" s="23">
        <v>11</v>
      </c>
      <c r="B12" s="238" t="s">
        <v>479</v>
      </c>
      <c r="C12" s="25">
        <f>C23+C27+C35</f>
        <v>2687883.74</v>
      </c>
      <c r="D12" s="26">
        <f>D23+D27+D35+D38</f>
        <v>5189589</v>
      </c>
      <c r="E12" s="26">
        <f>E23+E27+E35</f>
        <v>5189589</v>
      </c>
      <c r="F12" s="26">
        <f>C12/D12*100</f>
        <v>51.7937690248688</v>
      </c>
      <c r="G12" s="27"/>
    </row>
    <row r="13" s="5" customFormat="1" ht="12" spans="1:7">
      <c r="A13" s="23">
        <v>12</v>
      </c>
      <c r="B13" s="238" t="s">
        <v>501</v>
      </c>
      <c r="C13" s="25">
        <f>C123</f>
        <v>0</v>
      </c>
      <c r="D13" s="26">
        <f>D123</f>
        <v>0</v>
      </c>
      <c r="E13" s="26">
        <f>E123</f>
        <v>0</v>
      </c>
      <c r="F13" s="26" t="e">
        <f t="shared" ref="F12:F75" si="0">C13/D13*100</f>
        <v>#DIV/0!</v>
      </c>
      <c r="G13" s="27"/>
    </row>
    <row r="14" s="5" customFormat="1" ht="12" spans="1:7">
      <c r="A14" s="23">
        <v>31</v>
      </c>
      <c r="B14" s="238" t="s">
        <v>481</v>
      </c>
      <c r="C14" s="25">
        <f>C41</f>
        <v>413885.16</v>
      </c>
      <c r="D14" s="26">
        <f>D41</f>
        <v>692696</v>
      </c>
      <c r="E14" s="26">
        <f>E41</f>
        <v>692696</v>
      </c>
      <c r="F14" s="26">
        <f t="shared" si="0"/>
        <v>59.7498989455692</v>
      </c>
      <c r="G14" s="27"/>
    </row>
    <row r="15" s="5" customFormat="1" ht="12" spans="1:7">
      <c r="A15" s="23">
        <v>43</v>
      </c>
      <c r="B15" s="238" t="s">
        <v>483</v>
      </c>
      <c r="C15" s="25">
        <f>C53</f>
        <v>512396.26</v>
      </c>
      <c r="D15" s="26">
        <f>D53</f>
        <v>888347</v>
      </c>
      <c r="E15" s="26">
        <f>E53</f>
        <v>888347</v>
      </c>
      <c r="F15" s="26">
        <f t="shared" si="0"/>
        <v>57.679742262877</v>
      </c>
      <c r="G15" s="27"/>
    </row>
    <row r="16" s="5" customFormat="1" ht="12" spans="1:7">
      <c r="A16" s="23">
        <v>51</v>
      </c>
      <c r="B16" s="238" t="s">
        <v>487</v>
      </c>
      <c r="C16" s="25">
        <f>C86</f>
        <v>28969.32</v>
      </c>
      <c r="D16" s="26">
        <f>D86</f>
        <v>84373</v>
      </c>
      <c r="E16" s="26">
        <f>E86</f>
        <v>84373</v>
      </c>
      <c r="F16" s="26">
        <f t="shared" si="0"/>
        <v>34.3348227513541</v>
      </c>
      <c r="G16" s="27"/>
    </row>
    <row r="17" s="5" customFormat="1" ht="12" spans="1:7">
      <c r="A17" s="23">
        <v>52</v>
      </c>
      <c r="B17" s="238" t="s">
        <v>489</v>
      </c>
      <c r="C17" s="25">
        <f>C98+C65</f>
        <v>448026.1</v>
      </c>
      <c r="D17" s="26">
        <f>D98+D65</f>
        <v>437138</v>
      </c>
      <c r="E17" s="26">
        <f>E98+E65</f>
        <v>437138</v>
      </c>
      <c r="F17" s="26">
        <f t="shared" si="0"/>
        <v>102.490769505282</v>
      </c>
      <c r="G17" s="27"/>
    </row>
    <row r="18" s="5" customFormat="1" ht="12" spans="1:7">
      <c r="A18" s="23">
        <v>561</v>
      </c>
      <c r="B18" s="238" t="s">
        <v>572</v>
      </c>
      <c r="C18" s="25">
        <f>C131</f>
        <v>0</v>
      </c>
      <c r="D18" s="26">
        <f>D131</f>
        <v>0</v>
      </c>
      <c r="E18" s="26">
        <f>E131</f>
        <v>0</v>
      </c>
      <c r="F18" s="26" t="e">
        <f t="shared" si="0"/>
        <v>#DIV/0!</v>
      </c>
      <c r="G18" s="27"/>
    </row>
    <row r="19" s="5" customFormat="1" ht="12" spans="1:7">
      <c r="A19" s="23">
        <v>61</v>
      </c>
      <c r="B19" s="238" t="s">
        <v>496</v>
      </c>
      <c r="C19" s="25">
        <f>C68+C110</f>
        <v>81157.36</v>
      </c>
      <c r="D19" s="26">
        <f>D68+D110</f>
        <v>57377</v>
      </c>
      <c r="E19" s="26">
        <f>E68+E110</f>
        <v>57377</v>
      </c>
      <c r="F19" s="26">
        <f t="shared" si="0"/>
        <v>141.445805810691</v>
      </c>
      <c r="G19" s="27"/>
    </row>
    <row r="20" s="5" customFormat="1" ht="12" spans="1:8">
      <c r="A20" s="23">
        <v>71</v>
      </c>
      <c r="B20" s="238" t="s">
        <v>573</v>
      </c>
      <c r="C20" s="25">
        <f>C80</f>
        <v>436.96</v>
      </c>
      <c r="D20" s="26">
        <f>D80</f>
        <v>350</v>
      </c>
      <c r="E20" s="26">
        <f>E80</f>
        <v>350</v>
      </c>
      <c r="F20" s="26">
        <f t="shared" si="0"/>
        <v>124.845714285714</v>
      </c>
      <c r="G20" s="27"/>
      <c r="H20" s="28"/>
    </row>
    <row r="21" s="5" customFormat="1" ht="12" spans="1:7">
      <c r="A21" s="239" t="s">
        <v>574</v>
      </c>
      <c r="B21" s="240" t="s">
        <v>575</v>
      </c>
      <c r="C21" s="31">
        <f>C22+C26+C34+C40+C85+C37+C122</f>
        <v>4172754.9</v>
      </c>
      <c r="D21" s="32">
        <f>D22+D26+D34+D40+D85+D37+D122</f>
        <v>7349870</v>
      </c>
      <c r="E21" s="32">
        <f>E22+E26+E34+E40+E85+E37+E122</f>
        <v>7349870</v>
      </c>
      <c r="F21" s="32">
        <f t="shared" si="0"/>
        <v>56.7731796616811</v>
      </c>
      <c r="G21" s="27"/>
    </row>
    <row r="22" s="5" customFormat="1" ht="12" spans="1:7">
      <c r="A22" s="241" t="s">
        <v>576</v>
      </c>
      <c r="B22" s="242" t="s">
        <v>577</v>
      </c>
      <c r="C22" s="35">
        <f>C23</f>
        <v>2297114.85</v>
      </c>
      <c r="D22" s="36">
        <f>D23</f>
        <v>4404347</v>
      </c>
      <c r="E22" s="36">
        <f>E23</f>
        <v>4404347</v>
      </c>
      <c r="F22" s="36">
        <f t="shared" si="0"/>
        <v>52.1556282917763</v>
      </c>
      <c r="G22" s="27"/>
    </row>
    <row r="23" s="5" customFormat="1" ht="12" spans="1:7">
      <c r="A23" s="243" t="s">
        <v>480</v>
      </c>
      <c r="B23" s="244" t="s">
        <v>578</v>
      </c>
      <c r="C23" s="39">
        <f>SUM(C24:C25)</f>
        <v>2297114.85</v>
      </c>
      <c r="D23" s="40">
        <f>SUM(D24:D25)</f>
        <v>4404347</v>
      </c>
      <c r="E23" s="40">
        <f>SUM(E24:E25)</f>
        <v>4404347</v>
      </c>
      <c r="F23" s="40">
        <f t="shared" si="0"/>
        <v>52.1556282917763</v>
      </c>
      <c r="G23" s="27"/>
    </row>
    <row r="24" s="5" customFormat="1" ht="12" spans="1:7">
      <c r="A24" s="245" t="s">
        <v>191</v>
      </c>
      <c r="B24" s="238" t="s">
        <v>192</v>
      </c>
      <c r="C24" s="25">
        <f>2247023.24+441.44+441.44+12900+4338.96</f>
        <v>2265145.08</v>
      </c>
      <c r="D24" s="26">
        <v>4281489</v>
      </c>
      <c r="E24" s="26">
        <v>4281489</v>
      </c>
      <c r="F24" s="26">
        <f t="shared" si="0"/>
        <v>52.9055447765952</v>
      </c>
      <c r="G24" s="27"/>
    </row>
    <row r="25" s="5" customFormat="1" ht="12" spans="1:7">
      <c r="A25" s="245" t="s">
        <v>214</v>
      </c>
      <c r="B25" s="238" t="s">
        <v>215</v>
      </c>
      <c r="C25" s="25">
        <f>4050+2940+24979.77</f>
        <v>31969.77</v>
      </c>
      <c r="D25" s="26">
        <v>122858</v>
      </c>
      <c r="E25" s="26">
        <v>122858</v>
      </c>
      <c r="F25" s="26">
        <f t="shared" si="0"/>
        <v>26.02172426704</v>
      </c>
      <c r="G25" s="27"/>
    </row>
    <row r="26" s="5" customFormat="1" ht="12" spans="1:7">
      <c r="A26" s="241" t="s">
        <v>579</v>
      </c>
      <c r="B26" s="242" t="s">
        <v>580</v>
      </c>
      <c r="C26" s="35">
        <f>C27</f>
        <v>388748.89</v>
      </c>
      <c r="D26" s="36">
        <f>D27</f>
        <v>779740</v>
      </c>
      <c r="E26" s="36">
        <f>E27</f>
        <v>779740</v>
      </c>
      <c r="F26" s="36">
        <f t="shared" si="0"/>
        <v>49.8562200220586</v>
      </c>
      <c r="G26" s="27"/>
    </row>
    <row r="27" s="5" customFormat="1" ht="12" spans="1:7">
      <c r="A27" s="243" t="s">
        <v>480</v>
      </c>
      <c r="B27" s="244" t="s">
        <v>578</v>
      </c>
      <c r="C27" s="39">
        <f>SUM(C28:C33)</f>
        <v>388748.89</v>
      </c>
      <c r="D27" s="40">
        <f>SUM(D28:D33)</f>
        <v>779740</v>
      </c>
      <c r="E27" s="40">
        <f>SUM(E28:E33)</f>
        <v>779740</v>
      </c>
      <c r="F27" s="40">
        <f t="shared" si="0"/>
        <v>49.8562200220586</v>
      </c>
      <c r="G27" s="27"/>
    </row>
    <row r="28" s="5" customFormat="1" ht="12" spans="1:7">
      <c r="A28" s="245" t="s">
        <v>191</v>
      </c>
      <c r="B28" s="238" t="s">
        <v>192</v>
      </c>
      <c r="C28" s="25">
        <f>64254.87+459.67</f>
        <v>64714.54</v>
      </c>
      <c r="D28" s="42">
        <v>97608</v>
      </c>
      <c r="E28" s="26">
        <v>97608</v>
      </c>
      <c r="F28" s="26">
        <f t="shared" si="0"/>
        <v>66.300446684698</v>
      </c>
      <c r="G28" s="27"/>
    </row>
    <row r="29" s="5" customFormat="1" ht="12" spans="1:7">
      <c r="A29" s="245" t="s">
        <v>214</v>
      </c>
      <c r="B29" s="238" t="s">
        <v>215</v>
      </c>
      <c r="C29" s="25">
        <f>422738.66-31969.77-64714.54-9318.46-2020</f>
        <v>314715.89</v>
      </c>
      <c r="D29" s="43">
        <v>603044</v>
      </c>
      <c r="E29" s="26">
        <v>603044</v>
      </c>
      <c r="F29" s="26">
        <f t="shared" si="0"/>
        <v>52.1878818129357</v>
      </c>
      <c r="G29" s="27"/>
    </row>
    <row r="30" s="5" customFormat="1" ht="12" spans="1:7">
      <c r="A30" s="41">
        <v>34</v>
      </c>
      <c r="B30" s="238" t="s">
        <v>279</v>
      </c>
      <c r="C30" s="25">
        <v>0</v>
      </c>
      <c r="D30" s="43">
        <v>0</v>
      </c>
      <c r="E30" s="26">
        <v>0</v>
      </c>
      <c r="F30" s="26" t="e">
        <f t="shared" si="0"/>
        <v>#DIV/0!</v>
      </c>
      <c r="G30" s="27"/>
    </row>
    <row r="31" s="5" customFormat="1" ht="12" spans="1:7">
      <c r="A31" s="245" t="s">
        <v>385</v>
      </c>
      <c r="B31" s="238" t="s">
        <v>386</v>
      </c>
      <c r="C31" s="25">
        <v>0</v>
      </c>
      <c r="D31" s="26">
        <v>0</v>
      </c>
      <c r="E31" s="26">
        <v>0</v>
      </c>
      <c r="F31" s="26" t="e">
        <f t="shared" si="0"/>
        <v>#DIV/0!</v>
      </c>
      <c r="G31" s="27"/>
    </row>
    <row r="32" s="5" customFormat="1" ht="12" spans="1:7">
      <c r="A32" s="245" t="s">
        <v>397</v>
      </c>
      <c r="B32" s="238" t="s">
        <v>398</v>
      </c>
      <c r="C32" s="25">
        <f>13562.56-7051.63+2807.53</f>
        <v>9318.46</v>
      </c>
      <c r="D32" s="43">
        <v>79088</v>
      </c>
      <c r="E32" s="26">
        <v>79088</v>
      </c>
      <c r="F32" s="26">
        <f t="shared" si="0"/>
        <v>11.7823942949626</v>
      </c>
      <c r="G32" s="27"/>
    </row>
    <row r="33" s="5" customFormat="1" ht="12" spans="1:7">
      <c r="A33" s="245" t="s">
        <v>455</v>
      </c>
      <c r="B33" s="238" t="s">
        <v>456</v>
      </c>
      <c r="C33" s="25">
        <v>0</v>
      </c>
      <c r="D33" s="26">
        <v>0</v>
      </c>
      <c r="E33" s="26">
        <v>0</v>
      </c>
      <c r="F33" s="26" t="e">
        <f t="shared" si="0"/>
        <v>#DIV/0!</v>
      </c>
      <c r="G33" s="27"/>
    </row>
    <row r="34" s="5" customFormat="1" ht="12" spans="1:7">
      <c r="A34" s="241" t="s">
        <v>581</v>
      </c>
      <c r="B34" s="242" t="s">
        <v>582</v>
      </c>
      <c r="C34" s="35">
        <f>C35</f>
        <v>2020</v>
      </c>
      <c r="D34" s="36">
        <f>D35</f>
        <v>5502</v>
      </c>
      <c r="E34" s="36">
        <f>E35</f>
        <v>5502</v>
      </c>
      <c r="F34" s="36">
        <f t="shared" si="0"/>
        <v>36.7139222101054</v>
      </c>
      <c r="G34" s="27"/>
    </row>
    <row r="35" s="5" customFormat="1" ht="12" spans="1:7">
      <c r="A35" s="243" t="s">
        <v>480</v>
      </c>
      <c r="B35" s="244" t="s">
        <v>578</v>
      </c>
      <c r="C35" s="39">
        <f>SUM(C36)</f>
        <v>2020</v>
      </c>
      <c r="D35" s="40">
        <f>SUM(D36)</f>
        <v>5502</v>
      </c>
      <c r="E35" s="40">
        <f>SUM(E36)</f>
        <v>5502</v>
      </c>
      <c r="F35" s="40">
        <f t="shared" si="0"/>
        <v>36.7139222101054</v>
      </c>
      <c r="G35" s="27"/>
    </row>
    <row r="36" s="5" customFormat="1" ht="12" spans="1:7">
      <c r="A36" s="246" t="s">
        <v>214</v>
      </c>
      <c r="B36" s="238" t="s">
        <v>215</v>
      </c>
      <c r="C36" s="25">
        <v>2020</v>
      </c>
      <c r="D36" s="26">
        <v>5502</v>
      </c>
      <c r="E36" s="26">
        <v>5502</v>
      </c>
      <c r="F36" s="26">
        <f t="shared" si="0"/>
        <v>36.7139222101054</v>
      </c>
      <c r="G36" s="27"/>
    </row>
    <row r="37" s="5" customFormat="1" ht="12" spans="1:7">
      <c r="A37" s="241" t="s">
        <v>583</v>
      </c>
      <c r="B37" s="242" t="s">
        <v>584</v>
      </c>
      <c r="C37" s="35">
        <f>C38</f>
        <v>0</v>
      </c>
      <c r="D37" s="36">
        <f>D38</f>
        <v>0</v>
      </c>
      <c r="E37" s="36">
        <f>E38</f>
        <v>0</v>
      </c>
      <c r="F37" s="36" t="e">
        <f t="shared" si="0"/>
        <v>#DIV/0!</v>
      </c>
      <c r="G37" s="27"/>
    </row>
    <row r="38" s="5" customFormat="1" ht="12" spans="1:7">
      <c r="A38" s="243" t="s">
        <v>480</v>
      </c>
      <c r="B38" s="244" t="s">
        <v>578</v>
      </c>
      <c r="C38" s="39">
        <f>SUM(C39)</f>
        <v>0</v>
      </c>
      <c r="D38" s="40">
        <f>SUM(D39)</f>
        <v>0</v>
      </c>
      <c r="E38" s="40">
        <f>SUM(E39)</f>
        <v>0</v>
      </c>
      <c r="F38" s="40" t="e">
        <f t="shared" si="0"/>
        <v>#DIV/0!</v>
      </c>
      <c r="G38" s="27"/>
    </row>
    <row r="39" s="5" customFormat="1" ht="12" spans="1:7">
      <c r="A39" s="23">
        <v>31</v>
      </c>
      <c r="B39" s="247" t="s">
        <v>192</v>
      </c>
      <c r="C39" s="25">
        <v>0</v>
      </c>
      <c r="D39" s="26">
        <v>0</v>
      </c>
      <c r="E39" s="26">
        <v>0</v>
      </c>
      <c r="F39" s="26" t="e">
        <f t="shared" si="0"/>
        <v>#DIV/0!</v>
      </c>
      <c r="G39" s="27"/>
    </row>
    <row r="40" s="5" customFormat="1" ht="12" spans="1:7">
      <c r="A40" s="241" t="s">
        <v>585</v>
      </c>
      <c r="B40" s="242" t="s">
        <v>586</v>
      </c>
      <c r="C40" s="35">
        <f>C41+C53+C68+C80+C65</f>
        <v>1048343.4</v>
      </c>
      <c r="D40" s="36">
        <f>D41+D53+D68+D80+D65</f>
        <v>1684770</v>
      </c>
      <c r="E40" s="36">
        <f>E41+E53+E68+E80+E65</f>
        <v>1684770</v>
      </c>
      <c r="F40" s="36">
        <f t="shared" si="0"/>
        <v>62.2247191011236</v>
      </c>
      <c r="G40" s="27"/>
    </row>
    <row r="41" s="5" customFormat="1" ht="12" spans="1:7">
      <c r="A41" s="37">
        <v>31</v>
      </c>
      <c r="B41" s="244" t="s">
        <v>587</v>
      </c>
      <c r="C41" s="39">
        <f>SUM(C42:C52)</f>
        <v>413885.16</v>
      </c>
      <c r="D41" s="40">
        <f>SUM(D42:D52)</f>
        <v>692696</v>
      </c>
      <c r="E41" s="40">
        <f>SUM(E42:E52)</f>
        <v>692696</v>
      </c>
      <c r="F41" s="40">
        <f t="shared" si="0"/>
        <v>59.7498989455692</v>
      </c>
      <c r="G41" s="27"/>
    </row>
    <row r="42" s="5" customFormat="1" ht="12" spans="1:7">
      <c r="A42" s="245" t="s">
        <v>191</v>
      </c>
      <c r="B42" s="238" t="s">
        <v>192</v>
      </c>
      <c r="C42" s="25">
        <v>98090.9</v>
      </c>
      <c r="D42" s="26">
        <v>337219</v>
      </c>
      <c r="E42" s="26">
        <v>337219</v>
      </c>
      <c r="F42" s="26">
        <f t="shared" si="0"/>
        <v>29.0881889810479</v>
      </c>
      <c r="G42" s="27"/>
    </row>
    <row r="43" s="5" customFormat="1" ht="12" spans="1:7">
      <c r="A43" s="245" t="s">
        <v>214</v>
      </c>
      <c r="B43" s="238" t="s">
        <v>215</v>
      </c>
      <c r="C43" s="25">
        <v>289960.52</v>
      </c>
      <c r="D43" s="26">
        <v>263954</v>
      </c>
      <c r="E43" s="26">
        <v>263954</v>
      </c>
      <c r="F43" s="26">
        <f t="shared" si="0"/>
        <v>109.852671298787</v>
      </c>
      <c r="G43" s="27"/>
    </row>
    <row r="44" s="5" customFormat="1" ht="12" spans="1:7">
      <c r="A44" s="41">
        <v>34</v>
      </c>
      <c r="B44" s="238" t="s">
        <v>279</v>
      </c>
      <c r="C44" s="25">
        <v>0</v>
      </c>
      <c r="D44" s="26">
        <v>244</v>
      </c>
      <c r="E44" s="26">
        <v>244</v>
      </c>
      <c r="F44" s="26">
        <f t="shared" si="0"/>
        <v>0</v>
      </c>
      <c r="G44" s="27"/>
    </row>
    <row r="45" s="5" customFormat="1" ht="12" spans="1:7">
      <c r="A45" s="41">
        <v>35</v>
      </c>
      <c r="B45" s="238" t="s">
        <v>297</v>
      </c>
      <c r="C45" s="25">
        <v>0</v>
      </c>
      <c r="D45" s="26">
        <v>0</v>
      </c>
      <c r="E45" s="26">
        <v>0</v>
      </c>
      <c r="F45" s="26" t="e">
        <f t="shared" si="0"/>
        <v>#DIV/0!</v>
      </c>
      <c r="G45" s="27"/>
    </row>
    <row r="46" s="5" customFormat="1" ht="12" spans="1:7">
      <c r="A46" s="41">
        <v>36</v>
      </c>
      <c r="B46" s="238" t="s">
        <v>312</v>
      </c>
      <c r="C46" s="25">
        <f>1064.95+71.62</f>
        <v>1136.57</v>
      </c>
      <c r="D46" s="26">
        <v>0</v>
      </c>
      <c r="E46" s="26">
        <v>0</v>
      </c>
      <c r="F46" s="26" t="e">
        <f t="shared" si="0"/>
        <v>#DIV/0!</v>
      </c>
      <c r="G46" s="27"/>
    </row>
    <row r="47" s="5" customFormat="1" ht="12" spans="1:7">
      <c r="A47" s="41">
        <v>37</v>
      </c>
      <c r="B47" s="238" t="s">
        <v>341</v>
      </c>
      <c r="C47" s="25">
        <v>1000</v>
      </c>
      <c r="D47" s="26">
        <v>2230</v>
      </c>
      <c r="E47" s="26">
        <v>2230</v>
      </c>
      <c r="F47" s="26">
        <f t="shared" si="0"/>
        <v>44.8430493273543</v>
      </c>
      <c r="G47" s="27"/>
    </row>
    <row r="48" s="5" customFormat="1" ht="12" spans="1:7">
      <c r="A48" s="41">
        <v>38</v>
      </c>
      <c r="B48" s="238" t="s">
        <v>357</v>
      </c>
      <c r="C48" s="25">
        <v>0</v>
      </c>
      <c r="D48" s="26">
        <v>3323</v>
      </c>
      <c r="E48" s="26">
        <v>3323</v>
      </c>
      <c r="F48" s="26">
        <f t="shared" si="0"/>
        <v>0</v>
      </c>
      <c r="G48" s="27"/>
    </row>
    <row r="49" s="5" customFormat="1" ht="12" spans="1:7">
      <c r="A49" s="245" t="s">
        <v>385</v>
      </c>
      <c r="B49" s="238" t="s">
        <v>386</v>
      </c>
      <c r="C49" s="25">
        <v>165.9</v>
      </c>
      <c r="D49" s="26">
        <v>10306</v>
      </c>
      <c r="E49" s="26">
        <v>10306</v>
      </c>
      <c r="F49" s="26">
        <f t="shared" si="0"/>
        <v>1.60974189792354</v>
      </c>
      <c r="G49" s="27"/>
    </row>
    <row r="50" s="5" customFormat="1" ht="12" spans="1:7">
      <c r="A50" s="245" t="s">
        <v>397</v>
      </c>
      <c r="B50" s="238" t="s">
        <v>398</v>
      </c>
      <c r="C50" s="25">
        <v>22911.17</v>
      </c>
      <c r="D50" s="42">
        <v>10420</v>
      </c>
      <c r="E50" s="26">
        <v>10420</v>
      </c>
      <c r="F50" s="26">
        <f t="shared" si="0"/>
        <v>219.876871401152</v>
      </c>
      <c r="G50" s="27"/>
    </row>
    <row r="51" s="5" customFormat="1" ht="12" spans="1:7">
      <c r="A51" s="41">
        <v>44</v>
      </c>
      <c r="B51" s="238" t="s">
        <v>450</v>
      </c>
      <c r="C51" s="25">
        <v>620.1</v>
      </c>
      <c r="D51" s="26">
        <v>5000</v>
      </c>
      <c r="E51" s="26">
        <v>5000</v>
      </c>
      <c r="F51" s="26">
        <f t="shared" si="0"/>
        <v>12.402</v>
      </c>
      <c r="G51" s="27"/>
    </row>
    <row r="52" s="5" customFormat="1" ht="12" spans="1:7">
      <c r="A52" s="41">
        <v>45</v>
      </c>
      <c r="B52" s="238" t="s">
        <v>456</v>
      </c>
      <c r="C52" s="25">
        <v>0</v>
      </c>
      <c r="D52" s="26">
        <v>60000</v>
      </c>
      <c r="E52" s="26">
        <v>60000</v>
      </c>
      <c r="F52" s="26">
        <f t="shared" si="0"/>
        <v>0</v>
      </c>
      <c r="G52" s="27"/>
    </row>
    <row r="53" s="5" customFormat="1" ht="12" spans="1:7">
      <c r="A53" s="37">
        <v>43</v>
      </c>
      <c r="B53" s="244" t="s">
        <v>588</v>
      </c>
      <c r="C53" s="39">
        <f>SUM(C54:C64)</f>
        <v>512396.26</v>
      </c>
      <c r="D53" s="40">
        <f>SUM(D54:D64)</f>
        <v>888347</v>
      </c>
      <c r="E53" s="40">
        <f>SUM(E54:E64)</f>
        <v>888347</v>
      </c>
      <c r="F53" s="40">
        <f t="shared" si="0"/>
        <v>57.679742262877</v>
      </c>
      <c r="G53" s="27"/>
    </row>
    <row r="54" s="5" customFormat="1" ht="12" spans="1:7">
      <c r="A54" s="245" t="s">
        <v>191</v>
      </c>
      <c r="B54" s="238" t="s">
        <v>192</v>
      </c>
      <c r="C54" s="25">
        <v>398608.58</v>
      </c>
      <c r="D54" s="42">
        <v>619573</v>
      </c>
      <c r="E54" s="26">
        <v>619573</v>
      </c>
      <c r="F54" s="26">
        <f t="shared" si="0"/>
        <v>64.3360152879483</v>
      </c>
      <c r="G54" s="27"/>
    </row>
    <row r="55" s="5" customFormat="1" ht="12" spans="1:7">
      <c r="A55" s="245" t="s">
        <v>214</v>
      </c>
      <c r="B55" s="238" t="s">
        <v>215</v>
      </c>
      <c r="C55" s="25">
        <v>111153.47</v>
      </c>
      <c r="D55" s="42">
        <v>245775</v>
      </c>
      <c r="E55" s="26">
        <v>245775</v>
      </c>
      <c r="F55" s="26">
        <f t="shared" si="0"/>
        <v>45.2257023700539</v>
      </c>
      <c r="G55" s="27"/>
    </row>
    <row r="56" s="5" customFormat="1" ht="12" spans="1:7">
      <c r="A56" s="41">
        <v>34</v>
      </c>
      <c r="B56" s="238" t="s">
        <v>279</v>
      </c>
      <c r="C56" s="25">
        <v>1155.32</v>
      </c>
      <c r="D56" s="42">
        <v>9411</v>
      </c>
      <c r="E56" s="26">
        <v>9411</v>
      </c>
      <c r="F56" s="26">
        <f t="shared" si="0"/>
        <v>12.2762724471363</v>
      </c>
      <c r="G56" s="27"/>
    </row>
    <row r="57" s="5" customFormat="1" ht="12" spans="1:7">
      <c r="A57" s="41">
        <v>35</v>
      </c>
      <c r="B57" s="238" t="s">
        <v>297</v>
      </c>
      <c r="C57" s="25">
        <v>0</v>
      </c>
      <c r="D57" s="26">
        <v>0</v>
      </c>
      <c r="E57" s="26">
        <v>0</v>
      </c>
      <c r="F57" s="26" t="e">
        <f t="shared" si="0"/>
        <v>#DIV/0!</v>
      </c>
      <c r="G57" s="27"/>
    </row>
    <row r="58" s="5" customFormat="1" ht="12" spans="1:7">
      <c r="A58" s="41">
        <v>36</v>
      </c>
      <c r="B58" s="238" t="s">
        <v>312</v>
      </c>
      <c r="C58" s="25">
        <v>0</v>
      </c>
      <c r="D58" s="26">
        <v>0</v>
      </c>
      <c r="E58" s="26">
        <v>0</v>
      </c>
      <c r="F58" s="26" t="e">
        <f t="shared" si="0"/>
        <v>#DIV/0!</v>
      </c>
      <c r="G58" s="27"/>
    </row>
    <row r="59" s="5" customFormat="1" ht="12" spans="1:7">
      <c r="A59" s="41">
        <v>37</v>
      </c>
      <c r="B59" s="238" t="s">
        <v>341</v>
      </c>
      <c r="C59" s="25">
        <v>0</v>
      </c>
      <c r="D59" s="26">
        <v>0</v>
      </c>
      <c r="E59" s="26">
        <v>0</v>
      </c>
      <c r="F59" s="26" t="e">
        <f t="shared" si="0"/>
        <v>#DIV/0!</v>
      </c>
      <c r="G59" s="27"/>
    </row>
    <row r="60" s="5" customFormat="1" ht="12" spans="1:7">
      <c r="A60" s="41">
        <v>38</v>
      </c>
      <c r="B60" s="238" t="s">
        <v>357</v>
      </c>
      <c r="C60" s="25">
        <v>0</v>
      </c>
      <c r="D60" s="26">
        <v>0</v>
      </c>
      <c r="E60" s="26">
        <v>0</v>
      </c>
      <c r="F60" s="26" t="e">
        <f t="shared" si="0"/>
        <v>#DIV/0!</v>
      </c>
      <c r="G60" s="27"/>
    </row>
    <row r="61" s="5" customFormat="1" ht="12" spans="1:7">
      <c r="A61" s="245" t="s">
        <v>385</v>
      </c>
      <c r="B61" s="238" t="s">
        <v>386</v>
      </c>
      <c r="C61" s="25">
        <v>331.8</v>
      </c>
      <c r="D61" s="26">
        <v>459</v>
      </c>
      <c r="E61" s="26">
        <v>459</v>
      </c>
      <c r="F61" s="26">
        <f t="shared" si="0"/>
        <v>72.2875816993464</v>
      </c>
      <c r="G61" s="27"/>
    </row>
    <row r="62" s="5" customFormat="1" ht="12" spans="1:7">
      <c r="A62" s="245" t="s">
        <v>397</v>
      </c>
      <c r="B62" s="238" t="s">
        <v>398</v>
      </c>
      <c r="C62" s="25">
        <v>1147.09</v>
      </c>
      <c r="D62" s="43">
        <v>13129</v>
      </c>
      <c r="E62" s="26">
        <v>13129</v>
      </c>
      <c r="F62" s="26">
        <f t="shared" si="0"/>
        <v>8.73707060705309</v>
      </c>
      <c r="G62" s="27"/>
    </row>
    <row r="63" s="5" customFormat="1" ht="12" spans="1:7">
      <c r="A63" s="41">
        <v>44</v>
      </c>
      <c r="B63" s="238" t="s">
        <v>450</v>
      </c>
      <c r="C63" s="25">
        <v>0</v>
      </c>
      <c r="D63" s="43">
        <v>0</v>
      </c>
      <c r="E63" s="26">
        <v>0</v>
      </c>
      <c r="F63" s="26" t="e">
        <f t="shared" si="0"/>
        <v>#DIV/0!</v>
      </c>
      <c r="G63" s="27"/>
    </row>
    <row r="64" s="5" customFormat="1" ht="12" spans="1:7">
      <c r="A64" s="41">
        <v>45</v>
      </c>
      <c r="B64" s="238" t="s">
        <v>456</v>
      </c>
      <c r="C64" s="25">
        <v>0</v>
      </c>
      <c r="D64" s="26">
        <v>0</v>
      </c>
      <c r="E64" s="26">
        <v>0</v>
      </c>
      <c r="F64" s="26" t="e">
        <f t="shared" si="0"/>
        <v>#DIV/0!</v>
      </c>
      <c r="G64" s="27"/>
    </row>
    <row r="65" s="5" customFormat="1" ht="12" spans="1:7">
      <c r="A65" s="243" t="s">
        <v>488</v>
      </c>
      <c r="B65" s="244" t="s">
        <v>489</v>
      </c>
      <c r="C65" s="39">
        <f>SUM(C66:C67)</f>
        <v>40467.66</v>
      </c>
      <c r="D65" s="40">
        <f>SUM(D66:D67)</f>
        <v>46000</v>
      </c>
      <c r="E65" s="40">
        <f>SUM(E66:E67)</f>
        <v>46000</v>
      </c>
      <c r="F65" s="40">
        <f t="shared" si="0"/>
        <v>87.9731739130435</v>
      </c>
      <c r="G65" s="27"/>
    </row>
    <row r="66" s="5" customFormat="1" ht="12" spans="1:7">
      <c r="A66" s="41">
        <v>31</v>
      </c>
      <c r="B66" s="238" t="s">
        <v>192</v>
      </c>
      <c r="C66" s="25">
        <v>40467.66</v>
      </c>
      <c r="D66" s="26">
        <v>45197</v>
      </c>
      <c r="E66" s="26">
        <v>45197</v>
      </c>
      <c r="F66" s="26">
        <f t="shared" si="0"/>
        <v>89.5361639046839</v>
      </c>
      <c r="G66" s="27"/>
    </row>
    <row r="67" s="5" customFormat="1" ht="12" spans="1:7">
      <c r="A67" s="41">
        <v>32</v>
      </c>
      <c r="B67" s="238" t="s">
        <v>215</v>
      </c>
      <c r="C67" s="25">
        <v>0</v>
      </c>
      <c r="D67" s="26">
        <v>803</v>
      </c>
      <c r="E67" s="26">
        <v>803</v>
      </c>
      <c r="F67" s="26">
        <f t="shared" si="0"/>
        <v>0</v>
      </c>
      <c r="G67" s="27"/>
    </row>
    <row r="68" s="5" customFormat="1" ht="12" spans="1:7">
      <c r="A68" s="37">
        <v>61</v>
      </c>
      <c r="B68" s="244" t="s">
        <v>589</v>
      </c>
      <c r="C68" s="39">
        <f>SUM(C69:C79)</f>
        <v>81157.36</v>
      </c>
      <c r="D68" s="40">
        <f>SUM(D69:D79)</f>
        <v>57377</v>
      </c>
      <c r="E68" s="40">
        <f>SUM(E69:E79)</f>
        <v>57377</v>
      </c>
      <c r="F68" s="40">
        <f t="shared" si="0"/>
        <v>141.445805810691</v>
      </c>
      <c r="G68" s="27"/>
    </row>
    <row r="69" s="5" customFormat="1" ht="12" spans="1:7">
      <c r="A69" s="245" t="s">
        <v>191</v>
      </c>
      <c r="B69" s="238" t="s">
        <v>192</v>
      </c>
      <c r="C69" s="25">
        <v>13500</v>
      </c>
      <c r="D69" s="26">
        <v>0</v>
      </c>
      <c r="E69" s="26">
        <v>0</v>
      </c>
      <c r="F69" s="26" t="e">
        <f t="shared" si="0"/>
        <v>#DIV/0!</v>
      </c>
      <c r="G69" s="27"/>
    </row>
    <row r="70" s="5" customFormat="1" ht="12" spans="1:7">
      <c r="A70" s="245" t="s">
        <v>214</v>
      </c>
      <c r="B70" s="238" t="s">
        <v>215</v>
      </c>
      <c r="C70" s="25">
        <v>67657.36</v>
      </c>
      <c r="D70" s="43">
        <v>52377</v>
      </c>
      <c r="E70" s="26">
        <v>52377</v>
      </c>
      <c r="F70" s="26">
        <f t="shared" si="0"/>
        <v>129.173797659278</v>
      </c>
      <c r="G70" s="27"/>
    </row>
    <row r="71" s="5" customFormat="1" ht="12" spans="1:7">
      <c r="A71" s="41">
        <v>34</v>
      </c>
      <c r="B71" s="238" t="s">
        <v>279</v>
      </c>
      <c r="C71" s="25">
        <v>0</v>
      </c>
      <c r="D71" s="26">
        <v>0</v>
      </c>
      <c r="E71" s="26">
        <v>0</v>
      </c>
      <c r="F71" s="26" t="e">
        <f t="shared" si="0"/>
        <v>#DIV/0!</v>
      </c>
      <c r="G71" s="27"/>
    </row>
    <row r="72" s="5" customFormat="1" ht="12" spans="1:7">
      <c r="A72" s="41">
        <v>35</v>
      </c>
      <c r="B72" s="238" t="s">
        <v>297</v>
      </c>
      <c r="C72" s="25">
        <v>0</v>
      </c>
      <c r="D72" s="26">
        <v>0</v>
      </c>
      <c r="E72" s="26">
        <v>0</v>
      </c>
      <c r="F72" s="26" t="e">
        <f t="shared" si="0"/>
        <v>#DIV/0!</v>
      </c>
      <c r="G72" s="27"/>
    </row>
    <row r="73" s="5" customFormat="1" ht="12" spans="1:7">
      <c r="A73" s="41">
        <v>36</v>
      </c>
      <c r="B73" s="238" t="s">
        <v>312</v>
      </c>
      <c r="C73" s="25">
        <v>0</v>
      </c>
      <c r="D73" s="26">
        <v>0</v>
      </c>
      <c r="E73" s="26">
        <v>0</v>
      </c>
      <c r="F73" s="26" t="e">
        <f t="shared" si="0"/>
        <v>#DIV/0!</v>
      </c>
      <c r="G73" s="27"/>
    </row>
    <row r="74" s="5" customFormat="1" ht="12" spans="1:7">
      <c r="A74" s="41">
        <v>37</v>
      </c>
      <c r="B74" s="238" t="s">
        <v>341</v>
      </c>
      <c r="C74" s="25">
        <v>0</v>
      </c>
      <c r="D74" s="26">
        <v>0</v>
      </c>
      <c r="E74" s="26">
        <v>0</v>
      </c>
      <c r="F74" s="26" t="e">
        <f t="shared" si="0"/>
        <v>#DIV/0!</v>
      </c>
      <c r="G74" s="27"/>
    </row>
    <row r="75" s="5" customFormat="1" ht="12" spans="1:7">
      <c r="A75" s="41">
        <v>38</v>
      </c>
      <c r="B75" s="238" t="s">
        <v>357</v>
      </c>
      <c r="C75" s="27">
        <v>0</v>
      </c>
      <c r="D75" s="26">
        <v>0</v>
      </c>
      <c r="E75" s="26">
        <v>0</v>
      </c>
      <c r="F75" s="26" t="e">
        <f t="shared" si="0"/>
        <v>#DIV/0!</v>
      </c>
      <c r="G75" s="27"/>
    </row>
    <row r="76" s="5" customFormat="1" ht="12" spans="1:7">
      <c r="A76" s="245" t="s">
        <v>385</v>
      </c>
      <c r="B76" s="238" t="s">
        <v>386</v>
      </c>
      <c r="C76" s="25">
        <v>0</v>
      </c>
      <c r="D76" s="42">
        <v>5000</v>
      </c>
      <c r="E76" s="26">
        <v>5000</v>
      </c>
      <c r="F76" s="26">
        <f t="shared" ref="F76:F138" si="1">C76/D76*100</f>
        <v>0</v>
      </c>
      <c r="G76" s="27"/>
    </row>
    <row r="77" s="5" customFormat="1" ht="12" spans="1:7">
      <c r="A77" s="245" t="s">
        <v>397</v>
      </c>
      <c r="B77" s="238" t="s">
        <v>398</v>
      </c>
      <c r="C77" s="25">
        <v>0</v>
      </c>
      <c r="D77" s="26">
        <v>0</v>
      </c>
      <c r="E77" s="26">
        <v>0</v>
      </c>
      <c r="F77" s="26" t="e">
        <f t="shared" si="1"/>
        <v>#DIV/0!</v>
      </c>
      <c r="G77" s="27"/>
    </row>
    <row r="78" s="5" customFormat="1" ht="12" spans="1:7">
      <c r="A78" s="41">
        <v>44</v>
      </c>
      <c r="B78" s="238" t="s">
        <v>450</v>
      </c>
      <c r="C78" s="25">
        <v>0</v>
      </c>
      <c r="D78" s="26">
        <v>0</v>
      </c>
      <c r="E78" s="26">
        <v>0</v>
      </c>
      <c r="F78" s="26" t="e">
        <f t="shared" si="1"/>
        <v>#DIV/0!</v>
      </c>
      <c r="G78" s="27"/>
    </row>
    <row r="79" s="5" customFormat="1" ht="12" spans="1:7">
      <c r="A79" s="41">
        <v>45</v>
      </c>
      <c r="B79" s="238" t="s">
        <v>456</v>
      </c>
      <c r="C79" s="25">
        <v>0</v>
      </c>
      <c r="D79" s="26">
        <v>0</v>
      </c>
      <c r="E79" s="26">
        <v>0</v>
      </c>
      <c r="F79" s="26" t="e">
        <f t="shared" si="1"/>
        <v>#DIV/0!</v>
      </c>
      <c r="G79" s="27"/>
    </row>
    <row r="80" s="5" customFormat="1" ht="12" spans="1:7">
      <c r="A80" s="37">
        <v>71</v>
      </c>
      <c r="B80" s="244" t="s">
        <v>590</v>
      </c>
      <c r="C80" s="45">
        <f>SUM(C81:C84)</f>
        <v>436.96</v>
      </c>
      <c r="D80" s="46">
        <f>SUM(D81:D84)</f>
        <v>350</v>
      </c>
      <c r="E80" s="46">
        <f>SUM(E81:E84)</f>
        <v>350</v>
      </c>
      <c r="F80" s="46">
        <f t="shared" si="1"/>
        <v>124.845714285714</v>
      </c>
      <c r="G80" s="27"/>
    </row>
    <row r="81" s="5" customFormat="1" ht="12" spans="1:7">
      <c r="A81" s="245" t="s">
        <v>385</v>
      </c>
      <c r="B81" s="238" t="s">
        <v>386</v>
      </c>
      <c r="C81" s="25">
        <v>0</v>
      </c>
      <c r="D81" s="26">
        <v>0</v>
      </c>
      <c r="E81" s="26">
        <v>0</v>
      </c>
      <c r="F81" s="26" t="e">
        <f t="shared" si="1"/>
        <v>#DIV/0!</v>
      </c>
      <c r="G81" s="27"/>
    </row>
    <row r="82" s="5" customFormat="1" ht="12" spans="1:7">
      <c r="A82" s="245" t="s">
        <v>397</v>
      </c>
      <c r="B82" s="238" t="s">
        <v>398</v>
      </c>
      <c r="C82" s="25">
        <v>436.96</v>
      </c>
      <c r="D82" s="43">
        <v>350</v>
      </c>
      <c r="E82" s="26">
        <v>350</v>
      </c>
      <c r="F82" s="26">
        <f t="shared" si="1"/>
        <v>124.845714285714</v>
      </c>
      <c r="G82" s="27"/>
    </row>
    <row r="83" s="5" customFormat="1" ht="12" spans="1:7">
      <c r="A83" s="41">
        <v>44</v>
      </c>
      <c r="B83" s="238" t="s">
        <v>450</v>
      </c>
      <c r="C83" s="25">
        <v>0</v>
      </c>
      <c r="D83" s="26">
        <v>0</v>
      </c>
      <c r="E83" s="26">
        <v>0</v>
      </c>
      <c r="F83" s="26" t="e">
        <f t="shared" si="1"/>
        <v>#DIV/0!</v>
      </c>
      <c r="G83" s="27"/>
    </row>
    <row r="84" s="5" customFormat="1" ht="12" spans="1:7">
      <c r="A84" s="41">
        <v>45</v>
      </c>
      <c r="B84" s="238" t="s">
        <v>456</v>
      </c>
      <c r="C84" s="25">
        <v>0</v>
      </c>
      <c r="D84" s="26">
        <v>0</v>
      </c>
      <c r="E84" s="26">
        <v>0</v>
      </c>
      <c r="F84" s="26" t="e">
        <f t="shared" si="1"/>
        <v>#DIV/0!</v>
      </c>
      <c r="G84" s="27"/>
    </row>
    <row r="85" s="5" customFormat="1" ht="12" spans="1:7">
      <c r="A85" s="241" t="s">
        <v>591</v>
      </c>
      <c r="B85" s="242" t="s">
        <v>592</v>
      </c>
      <c r="C85" s="35">
        <f>C86+C98+C110</f>
        <v>436527.76</v>
      </c>
      <c r="D85" s="36">
        <f>D86+D98+D110</f>
        <v>475511</v>
      </c>
      <c r="E85" s="36">
        <f>E86+E98+E110</f>
        <v>475511</v>
      </c>
      <c r="F85" s="36">
        <f t="shared" si="1"/>
        <v>91.8018216192685</v>
      </c>
      <c r="G85" s="27"/>
    </row>
    <row r="86" s="5" customFormat="1" ht="12" spans="1:7">
      <c r="A86" s="243" t="s">
        <v>486</v>
      </c>
      <c r="B86" s="244" t="s">
        <v>487</v>
      </c>
      <c r="C86" s="39">
        <f>SUM(C87:C97)</f>
        <v>28969.32</v>
      </c>
      <c r="D86" s="40">
        <f>SUM(D87:D97)</f>
        <v>84373</v>
      </c>
      <c r="E86" s="40">
        <f>SUM(E87:E97)</f>
        <v>84373</v>
      </c>
      <c r="F86" s="40">
        <f t="shared" si="1"/>
        <v>34.3348227513541</v>
      </c>
      <c r="G86" s="27"/>
    </row>
    <row r="87" s="5" customFormat="1" ht="12" spans="1:7">
      <c r="A87" s="245" t="s">
        <v>191</v>
      </c>
      <c r="B87" s="238" t="s">
        <v>192</v>
      </c>
      <c r="C87" s="25">
        <v>5426.05</v>
      </c>
      <c r="D87" s="26">
        <v>29219</v>
      </c>
      <c r="E87" s="26">
        <v>29219</v>
      </c>
      <c r="F87" s="26">
        <f t="shared" si="1"/>
        <v>18.5702796125809</v>
      </c>
      <c r="G87" s="27"/>
    </row>
    <row r="88" s="5" customFormat="1" ht="12" spans="1:7">
      <c r="A88" s="245" t="s">
        <v>214</v>
      </c>
      <c r="B88" s="238" t="s">
        <v>215</v>
      </c>
      <c r="C88" s="25">
        <v>23543.27</v>
      </c>
      <c r="D88" s="26">
        <v>55154</v>
      </c>
      <c r="E88" s="26">
        <v>55154</v>
      </c>
      <c r="F88" s="26">
        <f t="shared" si="1"/>
        <v>42.6864234688327</v>
      </c>
      <c r="G88" s="27"/>
    </row>
    <row r="89" s="5" customFormat="1" ht="12" spans="1:7">
      <c r="A89" s="245" t="s">
        <v>278</v>
      </c>
      <c r="B89" s="238" t="s">
        <v>279</v>
      </c>
      <c r="C89" s="25">
        <v>0</v>
      </c>
      <c r="D89" s="26">
        <v>0</v>
      </c>
      <c r="E89" s="26">
        <v>0</v>
      </c>
      <c r="F89" s="26" t="e">
        <f t="shared" si="1"/>
        <v>#DIV/0!</v>
      </c>
      <c r="G89" s="27"/>
    </row>
    <row r="90" s="5" customFormat="1" ht="12" spans="1:7">
      <c r="A90" s="245" t="s">
        <v>296</v>
      </c>
      <c r="B90" s="238" t="s">
        <v>297</v>
      </c>
      <c r="C90" s="25">
        <v>0</v>
      </c>
      <c r="D90" s="26">
        <v>0</v>
      </c>
      <c r="E90" s="26">
        <v>0</v>
      </c>
      <c r="F90" s="26" t="e">
        <f t="shared" si="1"/>
        <v>#DIV/0!</v>
      </c>
      <c r="G90" s="27"/>
    </row>
    <row r="91" s="5" customFormat="1" ht="12" spans="1:7">
      <c r="A91" s="245" t="s">
        <v>311</v>
      </c>
      <c r="B91" s="238" t="s">
        <v>312</v>
      </c>
      <c r="C91" s="25">
        <v>0</v>
      </c>
      <c r="D91" s="26">
        <v>0</v>
      </c>
      <c r="E91" s="26">
        <v>0</v>
      </c>
      <c r="F91" s="26" t="e">
        <f t="shared" si="1"/>
        <v>#DIV/0!</v>
      </c>
      <c r="G91" s="27"/>
    </row>
    <row r="92" s="5" customFormat="1" ht="12" spans="1:7">
      <c r="A92" s="245" t="s">
        <v>340</v>
      </c>
      <c r="B92" s="238" t="s">
        <v>341</v>
      </c>
      <c r="C92" s="25">
        <v>0</v>
      </c>
      <c r="D92" s="26">
        <v>0</v>
      </c>
      <c r="E92" s="26">
        <v>0</v>
      </c>
      <c r="F92" s="26" t="e">
        <f t="shared" si="1"/>
        <v>#DIV/0!</v>
      </c>
      <c r="G92" s="27"/>
    </row>
    <row r="93" s="5" customFormat="1" ht="12" spans="1:7">
      <c r="A93" s="245" t="s">
        <v>356</v>
      </c>
      <c r="B93" s="238" t="s">
        <v>357</v>
      </c>
      <c r="C93" s="25">
        <v>0</v>
      </c>
      <c r="D93" s="26">
        <v>0</v>
      </c>
      <c r="E93" s="26">
        <v>0</v>
      </c>
      <c r="F93" s="26" t="e">
        <f t="shared" si="1"/>
        <v>#DIV/0!</v>
      </c>
      <c r="G93" s="27"/>
    </row>
    <row r="94" s="5" customFormat="1" ht="12" spans="1:7">
      <c r="A94" s="245" t="s">
        <v>385</v>
      </c>
      <c r="B94" s="238" t="s">
        <v>386</v>
      </c>
      <c r="C94" s="25">
        <v>0</v>
      </c>
      <c r="D94" s="26">
        <v>0</v>
      </c>
      <c r="E94" s="26">
        <v>0</v>
      </c>
      <c r="F94" s="26" t="e">
        <f t="shared" si="1"/>
        <v>#DIV/0!</v>
      </c>
      <c r="G94" s="27"/>
    </row>
    <row r="95" s="5" customFormat="1" ht="12" spans="1:7">
      <c r="A95" s="245" t="s">
        <v>397</v>
      </c>
      <c r="B95" s="238" t="s">
        <v>398</v>
      </c>
      <c r="C95" s="25">
        <v>0</v>
      </c>
      <c r="D95" s="26">
        <v>0</v>
      </c>
      <c r="E95" s="26">
        <v>0</v>
      </c>
      <c r="F95" s="26" t="e">
        <f t="shared" si="1"/>
        <v>#DIV/0!</v>
      </c>
      <c r="G95" s="27"/>
    </row>
    <row r="96" s="5" customFormat="1" ht="12" spans="1:7">
      <c r="A96" s="41">
        <v>44</v>
      </c>
      <c r="B96" s="238" t="s">
        <v>450</v>
      </c>
      <c r="C96" s="25">
        <v>0</v>
      </c>
      <c r="D96" s="26">
        <v>0</v>
      </c>
      <c r="E96" s="26">
        <v>0</v>
      </c>
      <c r="F96" s="26" t="e">
        <f t="shared" si="1"/>
        <v>#DIV/0!</v>
      </c>
      <c r="G96" s="27"/>
    </row>
    <row r="97" s="5" customFormat="1" ht="12" spans="1:7">
      <c r="A97" s="245" t="s">
        <v>455</v>
      </c>
      <c r="B97" s="238" t="s">
        <v>456</v>
      </c>
      <c r="C97" s="25">
        <v>0</v>
      </c>
      <c r="D97" s="26">
        <v>0</v>
      </c>
      <c r="E97" s="26">
        <v>0</v>
      </c>
      <c r="F97" s="26" t="e">
        <f t="shared" si="1"/>
        <v>#DIV/0!</v>
      </c>
      <c r="G97" s="27"/>
    </row>
    <row r="98" s="5" customFormat="1" ht="12" spans="1:7">
      <c r="A98" s="243" t="s">
        <v>488</v>
      </c>
      <c r="B98" s="244" t="s">
        <v>489</v>
      </c>
      <c r="C98" s="39">
        <f>SUM(C99:C109)</f>
        <v>407558.44</v>
      </c>
      <c r="D98" s="40">
        <f>SUM(D99:D109)</f>
        <v>391138</v>
      </c>
      <c r="E98" s="40">
        <f>SUM(E99:E109)</f>
        <v>391138</v>
      </c>
      <c r="F98" s="40">
        <f t="shared" si="1"/>
        <v>104.198119333841</v>
      </c>
      <c r="G98" s="27"/>
    </row>
    <row r="99" s="5" customFormat="1" ht="12" spans="1:7">
      <c r="A99" s="245" t="s">
        <v>191</v>
      </c>
      <c r="B99" s="238" t="s">
        <v>192</v>
      </c>
      <c r="C99" s="25">
        <f>149223.35-40467.66</f>
        <v>108755.69</v>
      </c>
      <c r="D99" s="43">
        <v>130040</v>
      </c>
      <c r="E99" s="26">
        <v>130040</v>
      </c>
      <c r="F99" s="26">
        <f t="shared" si="1"/>
        <v>83.632490003076</v>
      </c>
      <c r="G99" s="27"/>
    </row>
    <row r="100" s="5" customFormat="1" ht="12" spans="1:7">
      <c r="A100" s="245" t="s">
        <v>214</v>
      </c>
      <c r="B100" s="238" t="s">
        <v>215</v>
      </c>
      <c r="C100" s="25">
        <v>111835.35</v>
      </c>
      <c r="D100" s="43">
        <v>125537</v>
      </c>
      <c r="E100" s="26">
        <v>125537</v>
      </c>
      <c r="F100" s="26">
        <f t="shared" si="1"/>
        <v>89.0855683981615</v>
      </c>
      <c r="G100" s="27"/>
    </row>
    <row r="101" s="5" customFormat="1" ht="12" spans="1:7">
      <c r="A101" s="245" t="s">
        <v>278</v>
      </c>
      <c r="B101" s="238" t="s">
        <v>279</v>
      </c>
      <c r="C101" s="25">
        <v>0</v>
      </c>
      <c r="D101" s="43">
        <v>0</v>
      </c>
      <c r="E101" s="26">
        <v>0</v>
      </c>
      <c r="F101" s="26" t="e">
        <f t="shared" si="1"/>
        <v>#DIV/0!</v>
      </c>
      <c r="G101" s="27"/>
    </row>
    <row r="102" s="5" customFormat="1" ht="12" spans="1:7">
      <c r="A102" s="245" t="s">
        <v>296</v>
      </c>
      <c r="B102" s="238" t="s">
        <v>297</v>
      </c>
      <c r="C102" s="25">
        <v>0</v>
      </c>
      <c r="D102" s="43">
        <v>0</v>
      </c>
      <c r="E102" s="26">
        <v>0</v>
      </c>
      <c r="F102" s="26" t="e">
        <f t="shared" si="1"/>
        <v>#DIV/0!</v>
      </c>
      <c r="G102" s="27"/>
    </row>
    <row r="103" s="5" customFormat="1" ht="12" spans="1:7">
      <c r="A103" s="245" t="s">
        <v>311</v>
      </c>
      <c r="B103" s="238" t="s">
        <v>312</v>
      </c>
      <c r="C103" s="25">
        <v>185796.15</v>
      </c>
      <c r="D103" s="43">
        <v>115160</v>
      </c>
      <c r="E103" s="26">
        <v>115160</v>
      </c>
      <c r="F103" s="26">
        <f t="shared" si="1"/>
        <v>161.337400138937</v>
      </c>
      <c r="G103" s="27"/>
    </row>
    <row r="104" s="5" customFormat="1" ht="12" spans="1:7">
      <c r="A104" s="245" t="s">
        <v>340</v>
      </c>
      <c r="B104" s="238" t="s">
        <v>341</v>
      </c>
      <c r="C104" s="25">
        <v>0</v>
      </c>
      <c r="D104" s="43">
        <v>0</v>
      </c>
      <c r="E104" s="26">
        <v>0</v>
      </c>
      <c r="F104" s="26" t="e">
        <f t="shared" si="1"/>
        <v>#DIV/0!</v>
      </c>
      <c r="G104" s="27"/>
    </row>
    <row r="105" s="5" customFormat="1" ht="12" spans="1:7">
      <c r="A105" s="245" t="s">
        <v>356</v>
      </c>
      <c r="B105" s="238" t="s">
        <v>357</v>
      </c>
      <c r="C105" s="25">
        <v>0</v>
      </c>
      <c r="D105" s="26">
        <v>0</v>
      </c>
      <c r="E105" s="26">
        <v>0</v>
      </c>
      <c r="F105" s="26" t="e">
        <f t="shared" si="1"/>
        <v>#DIV/0!</v>
      </c>
      <c r="G105" s="27"/>
    </row>
    <row r="106" s="5" customFormat="1" ht="12" spans="1:7">
      <c r="A106" s="245" t="s">
        <v>385</v>
      </c>
      <c r="B106" s="238" t="s">
        <v>386</v>
      </c>
      <c r="C106" s="25">
        <v>0</v>
      </c>
      <c r="D106" s="43">
        <v>9718</v>
      </c>
      <c r="E106" s="26">
        <v>9718</v>
      </c>
      <c r="F106" s="26">
        <f t="shared" si="1"/>
        <v>0</v>
      </c>
      <c r="G106" s="27"/>
    </row>
    <row r="107" s="5" customFormat="1" ht="12" spans="1:7">
      <c r="A107" s="245" t="s">
        <v>397</v>
      </c>
      <c r="B107" s="238" t="s">
        <v>398</v>
      </c>
      <c r="C107" s="25">
        <v>1171.25</v>
      </c>
      <c r="D107" s="43">
        <v>10683</v>
      </c>
      <c r="E107" s="26">
        <v>10683</v>
      </c>
      <c r="F107" s="26">
        <f t="shared" si="1"/>
        <v>10.9636806140597</v>
      </c>
      <c r="G107" s="27"/>
    </row>
    <row r="108" s="5" customFormat="1" ht="12" spans="1:7">
      <c r="A108" s="41">
        <v>44</v>
      </c>
      <c r="B108" s="238" t="s">
        <v>450</v>
      </c>
      <c r="C108" s="25">
        <v>0</v>
      </c>
      <c r="D108" s="26">
        <v>0</v>
      </c>
      <c r="E108" s="26">
        <v>0</v>
      </c>
      <c r="F108" s="26" t="e">
        <f t="shared" si="1"/>
        <v>#DIV/0!</v>
      </c>
      <c r="G108" s="27"/>
    </row>
    <row r="109" s="5" customFormat="1" ht="12" spans="1:7">
      <c r="A109" s="245" t="s">
        <v>455</v>
      </c>
      <c r="B109" s="238" t="s">
        <v>456</v>
      </c>
      <c r="C109" s="25">
        <v>0</v>
      </c>
      <c r="D109" s="26">
        <v>0</v>
      </c>
      <c r="E109" s="26">
        <v>0</v>
      </c>
      <c r="F109" s="26" t="e">
        <f t="shared" si="1"/>
        <v>#DIV/0!</v>
      </c>
      <c r="G109" s="27"/>
    </row>
    <row r="110" s="5" customFormat="1" ht="12" spans="1:7">
      <c r="A110" s="243" t="s">
        <v>497</v>
      </c>
      <c r="B110" s="244" t="s">
        <v>496</v>
      </c>
      <c r="C110" s="39">
        <f>SUM(C111:C121)</f>
        <v>0</v>
      </c>
      <c r="D110" s="40">
        <f>SUM(D111:D121)</f>
        <v>0</v>
      </c>
      <c r="E110" s="40">
        <f>SUM(E111:E121)</f>
        <v>0</v>
      </c>
      <c r="F110" s="40" t="e">
        <f t="shared" si="1"/>
        <v>#DIV/0!</v>
      </c>
      <c r="G110" s="27"/>
    </row>
    <row r="111" s="5" customFormat="1" ht="12" spans="1:7">
      <c r="A111" s="245" t="s">
        <v>191</v>
      </c>
      <c r="B111" s="238" t="s">
        <v>192</v>
      </c>
      <c r="C111" s="25">
        <v>0</v>
      </c>
      <c r="D111" s="43">
        <v>0</v>
      </c>
      <c r="E111" s="26">
        <v>0</v>
      </c>
      <c r="F111" s="26" t="e">
        <f t="shared" si="1"/>
        <v>#DIV/0!</v>
      </c>
      <c r="G111" s="27"/>
    </row>
    <row r="112" s="5" customFormat="1" ht="12" spans="1:7">
      <c r="A112" s="245" t="s">
        <v>214</v>
      </c>
      <c r="B112" s="238" t="s">
        <v>215</v>
      </c>
      <c r="C112" s="25">
        <v>0</v>
      </c>
      <c r="D112" s="43">
        <v>0</v>
      </c>
      <c r="E112" s="26">
        <v>0</v>
      </c>
      <c r="F112" s="26" t="e">
        <f t="shared" si="1"/>
        <v>#DIV/0!</v>
      </c>
      <c r="G112" s="27"/>
    </row>
    <row r="113" s="5" customFormat="1" ht="12" spans="1:7">
      <c r="A113" s="245" t="s">
        <v>278</v>
      </c>
      <c r="B113" s="238" t="s">
        <v>279</v>
      </c>
      <c r="C113" s="25">
        <v>0</v>
      </c>
      <c r="D113" s="26">
        <v>0</v>
      </c>
      <c r="E113" s="26">
        <v>0</v>
      </c>
      <c r="F113" s="26" t="e">
        <f t="shared" si="1"/>
        <v>#DIV/0!</v>
      </c>
      <c r="G113" s="27"/>
    </row>
    <row r="114" s="5" customFormat="1" ht="12" spans="1:7">
      <c r="A114" s="245" t="s">
        <v>296</v>
      </c>
      <c r="B114" s="238" t="s">
        <v>297</v>
      </c>
      <c r="C114" s="25">
        <v>0</v>
      </c>
      <c r="D114" s="26">
        <v>0</v>
      </c>
      <c r="E114" s="26">
        <v>0</v>
      </c>
      <c r="F114" s="26" t="e">
        <f t="shared" si="1"/>
        <v>#DIV/0!</v>
      </c>
      <c r="G114" s="27"/>
    </row>
    <row r="115" s="5" customFormat="1" ht="12" spans="1:7">
      <c r="A115" s="245" t="s">
        <v>311</v>
      </c>
      <c r="B115" s="238" t="s">
        <v>312</v>
      </c>
      <c r="C115" s="25">
        <v>0</v>
      </c>
      <c r="D115" s="26">
        <v>0</v>
      </c>
      <c r="E115" s="26">
        <v>0</v>
      </c>
      <c r="F115" s="26" t="e">
        <f t="shared" si="1"/>
        <v>#DIV/0!</v>
      </c>
      <c r="G115" s="27"/>
    </row>
    <row r="116" s="5" customFormat="1" ht="12" spans="1:7">
      <c r="A116" s="245" t="s">
        <v>340</v>
      </c>
      <c r="B116" s="238" t="s">
        <v>341</v>
      </c>
      <c r="C116" s="25">
        <v>0</v>
      </c>
      <c r="D116" s="26">
        <v>0</v>
      </c>
      <c r="E116" s="26">
        <v>0</v>
      </c>
      <c r="F116" s="26" t="e">
        <f t="shared" si="1"/>
        <v>#DIV/0!</v>
      </c>
      <c r="G116" s="27"/>
    </row>
    <row r="117" s="5" customFormat="1" ht="12" spans="1:7">
      <c r="A117" s="245" t="s">
        <v>356</v>
      </c>
      <c r="B117" s="238" t="s">
        <v>357</v>
      </c>
      <c r="C117" s="25">
        <v>0</v>
      </c>
      <c r="D117" s="26">
        <v>0</v>
      </c>
      <c r="E117" s="26">
        <v>0</v>
      </c>
      <c r="F117" s="26" t="e">
        <f t="shared" si="1"/>
        <v>#DIV/0!</v>
      </c>
      <c r="G117" s="27"/>
    </row>
    <row r="118" s="5" customFormat="1" ht="12" spans="1:7">
      <c r="A118" s="245" t="s">
        <v>385</v>
      </c>
      <c r="B118" s="238" t="s">
        <v>386</v>
      </c>
      <c r="C118" s="25">
        <v>0</v>
      </c>
      <c r="D118" s="26">
        <v>0</v>
      </c>
      <c r="E118" s="26">
        <v>0</v>
      </c>
      <c r="F118" s="26" t="e">
        <f t="shared" si="1"/>
        <v>#DIV/0!</v>
      </c>
      <c r="G118" s="27"/>
    </row>
    <row r="119" s="5" customFormat="1" ht="12" spans="1:7">
      <c r="A119" s="245" t="s">
        <v>397</v>
      </c>
      <c r="B119" s="238" t="s">
        <v>398</v>
      </c>
      <c r="C119" s="25">
        <v>0</v>
      </c>
      <c r="D119" s="26">
        <v>0</v>
      </c>
      <c r="E119" s="26">
        <v>0</v>
      </c>
      <c r="F119" s="26" t="e">
        <f t="shared" si="1"/>
        <v>#DIV/0!</v>
      </c>
      <c r="G119" s="27"/>
    </row>
    <row r="120" s="5" customFormat="1" ht="12" spans="1:7">
      <c r="A120" s="41">
        <v>44</v>
      </c>
      <c r="B120" s="238" t="s">
        <v>450</v>
      </c>
      <c r="C120" s="25">
        <v>0</v>
      </c>
      <c r="D120" s="26">
        <v>0</v>
      </c>
      <c r="E120" s="26">
        <v>0</v>
      </c>
      <c r="F120" s="26" t="e">
        <f t="shared" si="1"/>
        <v>#DIV/0!</v>
      </c>
      <c r="G120" s="27"/>
    </row>
    <row r="121" s="5" customFormat="1" ht="12" spans="1:7">
      <c r="A121" s="245" t="s">
        <v>455</v>
      </c>
      <c r="B121" s="238" t="s">
        <v>456</v>
      </c>
      <c r="C121" s="25">
        <v>0</v>
      </c>
      <c r="D121" s="26">
        <v>0</v>
      </c>
      <c r="E121" s="26">
        <v>0</v>
      </c>
      <c r="F121" s="26" t="e">
        <f t="shared" si="1"/>
        <v>#DIV/0!</v>
      </c>
      <c r="G121" s="27"/>
    </row>
    <row r="122" s="5" customFormat="1" ht="12" spans="1:7">
      <c r="A122" s="241" t="s">
        <v>593</v>
      </c>
      <c r="B122" s="242" t="s">
        <v>594</v>
      </c>
      <c r="C122" s="35">
        <f>C123+C131</f>
        <v>0</v>
      </c>
      <c r="D122" s="36">
        <f>D123+D131</f>
        <v>0</v>
      </c>
      <c r="E122" s="36">
        <f>E123+E131</f>
        <v>0</v>
      </c>
      <c r="F122" s="36" t="e">
        <f t="shared" si="1"/>
        <v>#DIV/0!</v>
      </c>
      <c r="G122" s="27"/>
    </row>
    <row r="123" s="5" customFormat="1" ht="12" spans="1:7">
      <c r="A123" s="37">
        <v>12</v>
      </c>
      <c r="B123" s="244" t="s">
        <v>595</v>
      </c>
      <c r="C123" s="39">
        <f>SUM(C124:C130)</f>
        <v>0</v>
      </c>
      <c r="D123" s="40">
        <f>SUM(D124:D130)</f>
        <v>0</v>
      </c>
      <c r="E123" s="40">
        <f>SUM(E124:E130)</f>
        <v>0</v>
      </c>
      <c r="F123" s="40" t="e">
        <f t="shared" si="1"/>
        <v>#DIV/0!</v>
      </c>
      <c r="G123" s="27"/>
    </row>
    <row r="124" s="5" customFormat="1" ht="12" spans="1:7">
      <c r="A124" s="245" t="s">
        <v>191</v>
      </c>
      <c r="B124" s="238" t="s">
        <v>192</v>
      </c>
      <c r="C124" s="25">
        <v>0</v>
      </c>
      <c r="D124" s="43">
        <v>0</v>
      </c>
      <c r="E124" s="26">
        <v>0</v>
      </c>
      <c r="F124" s="26" t="e">
        <f t="shared" si="1"/>
        <v>#DIV/0!</v>
      </c>
      <c r="G124" s="27"/>
    </row>
    <row r="125" s="5" customFormat="1" ht="12" spans="1:7">
      <c r="A125" s="245" t="s">
        <v>214</v>
      </c>
      <c r="B125" s="238" t="s">
        <v>215</v>
      </c>
      <c r="C125" s="25">
        <v>0</v>
      </c>
      <c r="D125" s="43">
        <v>0</v>
      </c>
      <c r="E125" s="26">
        <v>0</v>
      </c>
      <c r="F125" s="26" t="e">
        <f t="shared" si="1"/>
        <v>#DIV/0!</v>
      </c>
      <c r="G125" s="27"/>
    </row>
    <row r="126" s="5" customFormat="1" ht="12" spans="1:7">
      <c r="A126" s="41">
        <v>34</v>
      </c>
      <c r="B126" s="238" t="s">
        <v>279</v>
      </c>
      <c r="C126" s="25">
        <v>0</v>
      </c>
      <c r="D126" s="43">
        <v>0</v>
      </c>
      <c r="E126" s="26">
        <v>0</v>
      </c>
      <c r="F126" s="26" t="e">
        <f t="shared" si="1"/>
        <v>#DIV/0!</v>
      </c>
      <c r="G126" s="27"/>
    </row>
    <row r="127" s="5" customFormat="1" ht="12" spans="1:7">
      <c r="A127" s="245" t="s">
        <v>296</v>
      </c>
      <c r="B127" s="238" t="s">
        <v>297</v>
      </c>
      <c r="C127" s="25">
        <v>0</v>
      </c>
      <c r="D127" s="43">
        <v>0</v>
      </c>
      <c r="E127" s="26">
        <v>0</v>
      </c>
      <c r="F127" s="26" t="e">
        <f t="shared" si="1"/>
        <v>#DIV/0!</v>
      </c>
      <c r="G127" s="27"/>
    </row>
    <row r="128" s="5" customFormat="1" ht="12" spans="1:7">
      <c r="A128" s="41">
        <v>36</v>
      </c>
      <c r="B128" s="238" t="s">
        <v>312</v>
      </c>
      <c r="C128" s="25">
        <v>0</v>
      </c>
      <c r="D128" s="43">
        <v>0</v>
      </c>
      <c r="E128" s="26">
        <v>0</v>
      </c>
      <c r="F128" s="26" t="e">
        <f t="shared" si="1"/>
        <v>#DIV/0!</v>
      </c>
      <c r="G128" s="27"/>
    </row>
    <row r="129" s="5" customFormat="1" ht="12" spans="1:7">
      <c r="A129" s="41">
        <v>37</v>
      </c>
      <c r="B129" s="238" t="s">
        <v>341</v>
      </c>
      <c r="C129" s="25">
        <v>0</v>
      </c>
      <c r="D129" s="43">
        <v>0</v>
      </c>
      <c r="E129" s="26">
        <v>0</v>
      </c>
      <c r="F129" s="26" t="e">
        <f t="shared" si="1"/>
        <v>#DIV/0!</v>
      </c>
      <c r="G129" s="27"/>
    </row>
    <row r="130" s="5" customFormat="1" ht="12" spans="1:7">
      <c r="A130" s="245" t="s">
        <v>397</v>
      </c>
      <c r="B130" s="238" t="s">
        <v>398</v>
      </c>
      <c r="C130" s="25">
        <v>0</v>
      </c>
      <c r="D130" s="42">
        <v>0</v>
      </c>
      <c r="E130" s="26">
        <v>0</v>
      </c>
      <c r="F130" s="26" t="e">
        <f t="shared" si="1"/>
        <v>#DIV/0!</v>
      </c>
      <c r="G130" s="27"/>
    </row>
    <row r="131" s="5" customFormat="1" ht="12" spans="1:7">
      <c r="A131" s="37">
        <v>561</v>
      </c>
      <c r="B131" s="244" t="s">
        <v>596</v>
      </c>
      <c r="C131" s="39">
        <f>SUM(C132:C138)</f>
        <v>0</v>
      </c>
      <c r="D131" s="40">
        <f>SUM(D132:D138)</f>
        <v>0</v>
      </c>
      <c r="E131" s="40">
        <f>SUM(E132:E138)</f>
        <v>0</v>
      </c>
      <c r="F131" s="40" t="e">
        <f t="shared" si="1"/>
        <v>#DIV/0!</v>
      </c>
      <c r="G131" s="27"/>
    </row>
    <row r="132" s="5" customFormat="1" ht="12" spans="1:7">
      <c r="A132" s="245" t="s">
        <v>191</v>
      </c>
      <c r="B132" s="238" t="s">
        <v>192</v>
      </c>
      <c r="C132" s="25">
        <v>0</v>
      </c>
      <c r="D132" s="43">
        <v>0</v>
      </c>
      <c r="E132" s="26">
        <v>0</v>
      </c>
      <c r="F132" s="26" t="e">
        <f t="shared" si="1"/>
        <v>#DIV/0!</v>
      </c>
      <c r="G132" s="27"/>
    </row>
    <row r="133" s="5" customFormat="1" ht="12" spans="1:7">
      <c r="A133" s="245" t="s">
        <v>214</v>
      </c>
      <c r="B133" s="238" t="s">
        <v>215</v>
      </c>
      <c r="C133" s="25">
        <v>0</v>
      </c>
      <c r="D133" s="43">
        <v>0</v>
      </c>
      <c r="E133" s="26">
        <v>0</v>
      </c>
      <c r="F133" s="26" t="e">
        <f t="shared" si="1"/>
        <v>#DIV/0!</v>
      </c>
      <c r="G133" s="27"/>
    </row>
    <row r="134" s="5" customFormat="1" ht="12" spans="1:7">
      <c r="A134" s="41">
        <v>34</v>
      </c>
      <c r="B134" s="238" t="s">
        <v>279</v>
      </c>
      <c r="C134" s="25">
        <v>0</v>
      </c>
      <c r="D134" s="43">
        <v>0</v>
      </c>
      <c r="E134" s="26">
        <v>0</v>
      </c>
      <c r="F134" s="26" t="e">
        <f t="shared" si="1"/>
        <v>#DIV/0!</v>
      </c>
      <c r="G134" s="27"/>
    </row>
    <row r="135" s="5" customFormat="1" ht="12" spans="1:7">
      <c r="A135" s="245" t="s">
        <v>296</v>
      </c>
      <c r="B135" s="238" t="s">
        <v>297</v>
      </c>
      <c r="C135" s="25">
        <v>0</v>
      </c>
      <c r="D135" s="43">
        <v>0</v>
      </c>
      <c r="E135" s="26">
        <v>0</v>
      </c>
      <c r="F135" s="26" t="e">
        <f t="shared" si="1"/>
        <v>#DIV/0!</v>
      </c>
      <c r="G135" s="27"/>
    </row>
    <row r="136" s="5" customFormat="1" ht="12" spans="1:7">
      <c r="A136" s="41">
        <v>36</v>
      </c>
      <c r="B136" s="238" t="s">
        <v>312</v>
      </c>
      <c r="C136" s="25">
        <v>0</v>
      </c>
      <c r="D136" s="43">
        <v>0</v>
      </c>
      <c r="E136" s="26">
        <v>0</v>
      </c>
      <c r="F136" s="26" t="e">
        <f t="shared" si="1"/>
        <v>#DIV/0!</v>
      </c>
      <c r="G136" s="27"/>
    </row>
    <row r="137" s="5" customFormat="1" ht="12" spans="1:7">
      <c r="A137" s="41">
        <v>37</v>
      </c>
      <c r="B137" s="238" t="s">
        <v>341</v>
      </c>
      <c r="C137" s="25">
        <v>0</v>
      </c>
      <c r="D137" s="47">
        <v>0</v>
      </c>
      <c r="E137" s="26">
        <v>0</v>
      </c>
      <c r="F137" s="26" t="e">
        <f t="shared" si="1"/>
        <v>#DIV/0!</v>
      </c>
      <c r="G137" s="27"/>
    </row>
    <row r="138" s="5" customFormat="1" ht="12" spans="1:7">
      <c r="A138" s="245" t="s">
        <v>397</v>
      </c>
      <c r="B138" s="238" t="s">
        <v>398</v>
      </c>
      <c r="C138" s="25">
        <v>0</v>
      </c>
      <c r="D138" s="43">
        <v>0</v>
      </c>
      <c r="E138" s="26">
        <v>0</v>
      </c>
      <c r="F138" s="26" t="e">
        <f t="shared" si="1"/>
        <v>#DIV/0!</v>
      </c>
      <c r="G138" s="27"/>
    </row>
    <row r="139" s="5" customFormat="1" ht="12" spans="1:7">
      <c r="A139" s="48"/>
      <c r="B139" s="49"/>
      <c r="C139" s="50"/>
      <c r="D139" s="43"/>
      <c r="E139" s="50"/>
      <c r="F139" s="50"/>
      <c r="G139" s="27"/>
    </row>
    <row r="140" s="6" customFormat="1" ht="15.75" spans="1:7">
      <c r="A140" s="8"/>
      <c r="B140" s="9"/>
      <c r="C140" s="9"/>
      <c r="D140" s="9"/>
      <c r="E140" s="9"/>
      <c r="F140" s="9"/>
      <c r="G140" s="51"/>
    </row>
    <row r="141" s="6" customFormat="1" ht="15.75" spans="1:7">
      <c r="A141" s="8"/>
      <c r="B141" s="9"/>
      <c r="C141" s="9"/>
      <c r="D141" s="52" t="s">
        <v>597</v>
      </c>
      <c r="E141" s="52" t="s">
        <v>598</v>
      </c>
      <c r="F141" s="52"/>
      <c r="G141" s="51"/>
    </row>
    <row r="142" s="6" customFormat="1" ht="15.75" spans="1:7">
      <c r="A142" s="8"/>
      <c r="B142" s="9"/>
      <c r="C142" s="9"/>
      <c r="D142" s="9"/>
      <c r="E142" s="9"/>
      <c r="F142" s="9"/>
      <c r="G142" s="51"/>
    </row>
    <row r="143" s="6" customFormat="1" ht="15.75" spans="1:7">
      <c r="A143" s="8"/>
      <c r="B143" s="9"/>
      <c r="C143" s="9"/>
      <c r="D143" s="52" t="s">
        <v>599</v>
      </c>
      <c r="E143" s="52"/>
      <c r="F143" s="52"/>
      <c r="G143" s="51"/>
    </row>
    <row r="144" s="6" customFormat="1" ht="15.75" spans="1:7">
      <c r="A144" s="8"/>
      <c r="B144" s="9"/>
      <c r="C144" s="9"/>
      <c r="D144" s="9"/>
      <c r="E144" s="9"/>
      <c r="F144" s="9"/>
      <c r="G144" s="51"/>
    </row>
    <row r="145" s="6" customFormat="1" ht="15.75" spans="1:7">
      <c r="A145" s="8"/>
      <c r="B145" s="9"/>
      <c r="C145" s="9"/>
      <c r="D145" s="9"/>
      <c r="E145" s="9"/>
      <c r="F145" s="9"/>
      <c r="G145" s="51"/>
    </row>
    <row r="146" s="6" customFormat="1" ht="15.75" spans="1:7">
      <c r="A146" s="8"/>
      <c r="B146" s="9"/>
      <c r="C146" s="9"/>
      <c r="D146" s="9"/>
      <c r="E146" s="9"/>
      <c r="F146" s="9"/>
      <c r="G146" s="51"/>
    </row>
    <row r="147" s="6" customFormat="1" ht="15.75" spans="1:7">
      <c r="A147" s="8"/>
      <c r="B147" s="9"/>
      <c r="C147" s="9"/>
      <c r="D147" s="9"/>
      <c r="E147" s="9"/>
      <c r="F147" s="9"/>
      <c r="G147" s="51"/>
    </row>
    <row r="148" s="6" customFormat="1" ht="15.75" spans="1:7">
      <c r="A148" s="8"/>
      <c r="B148" s="9"/>
      <c r="C148" s="9"/>
      <c r="D148" s="9"/>
      <c r="E148" s="9"/>
      <c r="F148" s="9"/>
      <c r="G148" s="51"/>
    </row>
    <row r="149" s="6" customFormat="1" ht="15.75" spans="1:7">
      <c r="A149" s="8"/>
      <c r="B149" s="9"/>
      <c r="C149" s="9"/>
      <c r="D149" s="9"/>
      <c r="E149" s="9"/>
      <c r="F149" s="9"/>
      <c r="G149" s="51"/>
    </row>
    <row r="150" s="6" customFormat="1" ht="15.75" spans="1:7">
      <c r="A150" s="8"/>
      <c r="B150" s="9"/>
      <c r="C150" s="9"/>
      <c r="D150" s="9"/>
      <c r="E150" s="9"/>
      <c r="F150" s="9"/>
      <c r="G150" s="51"/>
    </row>
    <row r="151" s="6" customFormat="1" ht="15.75" spans="1:7">
      <c r="A151" s="8"/>
      <c r="B151" s="9"/>
      <c r="C151" s="9"/>
      <c r="D151" s="9"/>
      <c r="E151" s="9"/>
      <c r="F151" s="9"/>
      <c r="G151" s="51"/>
    </row>
    <row r="152" s="6" customFormat="1" ht="15.75" spans="1:7">
      <c r="A152" s="8"/>
      <c r="B152" s="9"/>
      <c r="C152" s="9"/>
      <c r="D152" s="9"/>
      <c r="E152" s="9"/>
      <c r="F152" s="9"/>
      <c r="G152" s="51"/>
    </row>
    <row r="153" s="6" customFormat="1" ht="15.75" spans="1:7">
      <c r="A153" s="8"/>
      <c r="B153" s="9"/>
      <c r="C153" s="9"/>
      <c r="D153" s="9"/>
      <c r="E153" s="9"/>
      <c r="F153" s="9"/>
      <c r="G153" s="51"/>
    </row>
    <row r="154" s="6" customFormat="1" ht="15.75" spans="1:7">
      <c r="A154" s="8"/>
      <c r="B154" s="9"/>
      <c r="C154" s="9"/>
      <c r="D154" s="9"/>
      <c r="E154" s="9"/>
      <c r="F154" s="9"/>
      <c r="G154" s="51"/>
    </row>
    <row r="155" s="6" customFormat="1" ht="15.75" spans="1:7">
      <c r="A155" s="8"/>
      <c r="B155" s="9"/>
      <c r="C155" s="9"/>
      <c r="D155" s="9"/>
      <c r="E155" s="9"/>
      <c r="F155" s="9"/>
      <c r="G155" s="51"/>
    </row>
    <row r="156" s="6" customFormat="1" ht="15.75" spans="1:7">
      <c r="A156" s="8"/>
      <c r="B156" s="9"/>
      <c r="C156" s="9"/>
      <c r="D156" s="9"/>
      <c r="E156" s="9"/>
      <c r="F156" s="9"/>
      <c r="G156" s="51"/>
    </row>
    <row r="157" s="6" customFormat="1" ht="15.75" spans="1:7">
      <c r="A157" s="8"/>
      <c r="B157" s="9"/>
      <c r="C157" s="9"/>
      <c r="D157" s="9"/>
      <c r="E157" s="9"/>
      <c r="F157" s="9"/>
      <c r="G157" s="51"/>
    </row>
    <row r="158" s="6" customFormat="1" ht="15.75" spans="1:7">
      <c r="A158" s="8"/>
      <c r="B158" s="9"/>
      <c r="C158" s="9"/>
      <c r="D158" s="9"/>
      <c r="E158" s="9"/>
      <c r="F158" s="9"/>
      <c r="G158" s="51"/>
    </row>
    <row r="159" s="6" customFormat="1" ht="15.75" spans="1:7">
      <c r="A159" s="8"/>
      <c r="B159" s="9"/>
      <c r="C159" s="9"/>
      <c r="D159" s="9"/>
      <c r="E159" s="9"/>
      <c r="F159" s="9"/>
      <c r="G159" s="51"/>
    </row>
    <row r="160" s="6" customFormat="1" ht="15.75" spans="1:7">
      <c r="A160" s="8"/>
      <c r="B160" s="9"/>
      <c r="C160" s="9"/>
      <c r="D160" s="9"/>
      <c r="E160" s="9"/>
      <c r="F160" s="9"/>
      <c r="G160" s="51"/>
    </row>
    <row r="161" s="6" customFormat="1" ht="15.75" spans="1:7">
      <c r="A161" s="8"/>
      <c r="B161" s="9"/>
      <c r="C161" s="9"/>
      <c r="D161" s="9"/>
      <c r="E161" s="9"/>
      <c r="F161" s="9"/>
      <c r="G161" s="51"/>
    </row>
    <row r="162" s="6" customFormat="1" ht="15.75" spans="1:7">
      <c r="A162" s="8"/>
      <c r="B162" s="9"/>
      <c r="C162" s="9"/>
      <c r="D162" s="9"/>
      <c r="E162" s="9"/>
      <c r="F162" s="9"/>
      <c r="G162" s="51"/>
    </row>
    <row r="163" s="6" customFormat="1" ht="15.75" spans="1:7">
      <c r="A163" s="8"/>
      <c r="B163" s="9"/>
      <c r="C163" s="9"/>
      <c r="D163" s="9"/>
      <c r="E163" s="9"/>
      <c r="F163" s="9"/>
      <c r="G163" s="51"/>
    </row>
    <row r="164" s="6" customFormat="1" ht="15.75" spans="1:7">
      <c r="A164" s="8"/>
      <c r="B164" s="9"/>
      <c r="C164" s="9"/>
      <c r="D164" s="9"/>
      <c r="E164" s="9"/>
      <c r="F164" s="9"/>
      <c r="G164" s="51"/>
    </row>
    <row r="165" s="6" customFormat="1" ht="15.75" spans="1:7">
      <c r="A165" s="8"/>
      <c r="B165" s="9"/>
      <c r="C165" s="9"/>
      <c r="D165" s="9"/>
      <c r="E165" s="9"/>
      <c r="F165" s="9"/>
      <c r="G165" s="51"/>
    </row>
    <row r="166" s="6" customFormat="1" ht="15.75" spans="1:7">
      <c r="A166" s="8"/>
      <c r="B166" s="9"/>
      <c r="C166" s="9"/>
      <c r="D166" s="9"/>
      <c r="E166" s="9"/>
      <c r="F166" s="9"/>
      <c r="G166" s="51"/>
    </row>
    <row r="167" s="6" customFormat="1" ht="15.75" spans="1:7">
      <c r="A167" s="8"/>
      <c r="B167" s="9"/>
      <c r="C167" s="9"/>
      <c r="D167" s="9"/>
      <c r="E167" s="9"/>
      <c r="F167" s="9"/>
      <c r="G167" s="51"/>
    </row>
    <row r="168" s="6" customFormat="1" ht="15.75" spans="1:7">
      <c r="A168" s="8"/>
      <c r="B168" s="9"/>
      <c r="C168" s="9"/>
      <c r="D168" s="9"/>
      <c r="E168" s="9"/>
      <c r="F168" s="9"/>
      <c r="G168" s="51"/>
    </row>
    <row r="169" s="6" customFormat="1" ht="15.75" spans="1:7">
      <c r="A169" s="8"/>
      <c r="B169" s="9"/>
      <c r="C169" s="9"/>
      <c r="D169" s="9"/>
      <c r="E169" s="9"/>
      <c r="F169" s="9"/>
      <c r="G169" s="51"/>
    </row>
    <row r="170" s="6" customFormat="1" ht="15.75" spans="1:7">
      <c r="A170" s="8"/>
      <c r="B170" s="9"/>
      <c r="C170" s="9"/>
      <c r="D170" s="9"/>
      <c r="E170" s="9"/>
      <c r="F170" s="9"/>
      <c r="G170" s="51"/>
    </row>
    <row r="171" s="6" customFormat="1" ht="15.75" spans="1:7">
      <c r="A171" s="8"/>
      <c r="B171" s="9"/>
      <c r="C171" s="9"/>
      <c r="D171" s="9"/>
      <c r="E171" s="9"/>
      <c r="F171" s="9"/>
      <c r="G171" s="51"/>
    </row>
    <row r="172" s="6" customFormat="1" ht="15.75" spans="1:7">
      <c r="A172" s="8"/>
      <c r="B172" s="9"/>
      <c r="C172" s="9"/>
      <c r="D172" s="9"/>
      <c r="E172" s="9"/>
      <c r="F172" s="9"/>
      <c r="G172" s="51"/>
    </row>
    <row r="173" s="6" customFormat="1" ht="15.75" spans="1:7">
      <c r="A173" s="8"/>
      <c r="B173" s="9"/>
      <c r="C173" s="9"/>
      <c r="D173" s="9"/>
      <c r="E173" s="9"/>
      <c r="F173" s="9"/>
      <c r="G173" s="51"/>
    </row>
    <row r="174" s="6" customFormat="1" ht="15.75" spans="1:7">
      <c r="A174" s="8"/>
      <c r="B174" s="9"/>
      <c r="C174" s="9"/>
      <c r="D174" s="9"/>
      <c r="E174" s="9"/>
      <c r="F174" s="9"/>
      <c r="G174" s="51"/>
    </row>
    <row r="175" s="6" customFormat="1" ht="15.75" spans="1:7">
      <c r="A175" s="8"/>
      <c r="B175" s="9"/>
      <c r="C175" s="9"/>
      <c r="D175" s="9"/>
      <c r="E175" s="9"/>
      <c r="F175" s="9"/>
      <c r="G175" s="51"/>
    </row>
    <row r="176" s="6" customFormat="1" ht="15.75" spans="1:7">
      <c r="A176" s="8"/>
      <c r="B176" s="9"/>
      <c r="C176" s="9"/>
      <c r="D176" s="9"/>
      <c r="E176" s="9"/>
      <c r="F176" s="9"/>
      <c r="G176" s="51"/>
    </row>
    <row r="177" s="6" customFormat="1" ht="15.75" spans="1:7">
      <c r="A177" s="8"/>
      <c r="B177" s="9"/>
      <c r="C177" s="9"/>
      <c r="D177" s="9"/>
      <c r="E177" s="9"/>
      <c r="F177" s="9"/>
      <c r="G177" s="51"/>
    </row>
    <row r="178" s="6" customFormat="1" ht="15.75" spans="1:7">
      <c r="A178" s="8"/>
      <c r="B178" s="9"/>
      <c r="C178" s="9"/>
      <c r="D178" s="9"/>
      <c r="E178" s="9"/>
      <c r="F178" s="9"/>
      <c r="G178" s="51"/>
    </row>
    <row r="179" s="6" customFormat="1" ht="15.75" spans="1:7">
      <c r="A179" s="8"/>
      <c r="B179" s="9"/>
      <c r="C179" s="9"/>
      <c r="D179" s="9"/>
      <c r="E179" s="9"/>
      <c r="F179" s="9"/>
      <c r="G179" s="51"/>
    </row>
    <row r="180" s="6" customFormat="1" ht="15.75" spans="1:7">
      <c r="A180" s="8"/>
      <c r="B180" s="9"/>
      <c r="C180" s="9"/>
      <c r="D180" s="9"/>
      <c r="E180" s="9"/>
      <c r="F180" s="9"/>
      <c r="G180" s="51"/>
    </row>
    <row r="181" s="6" customFormat="1" ht="15.75" spans="1:8">
      <c r="A181" s="8"/>
      <c r="B181" s="9"/>
      <c r="C181" s="9"/>
      <c r="D181" s="9"/>
      <c r="E181" s="9"/>
      <c r="F181" s="9"/>
      <c r="G181" s="10"/>
      <c r="H181" s="11"/>
    </row>
    <row r="182" s="6" customFormat="1" ht="15.75" spans="1:7">
      <c r="A182" s="8"/>
      <c r="B182" s="9"/>
      <c r="C182" s="9"/>
      <c r="D182" s="9"/>
      <c r="E182" s="9"/>
      <c r="F182" s="9"/>
      <c r="G182" s="51"/>
    </row>
    <row r="183" s="6" customFormat="1" ht="15.75" spans="1:7">
      <c r="A183" s="8"/>
      <c r="B183" s="9"/>
      <c r="C183" s="9"/>
      <c r="D183" s="9"/>
      <c r="E183" s="9"/>
      <c r="F183" s="9"/>
      <c r="G183" s="51"/>
    </row>
    <row r="184" s="6" customFormat="1" ht="15.75" spans="1:7">
      <c r="A184" s="8"/>
      <c r="B184" s="9"/>
      <c r="C184" s="9"/>
      <c r="D184" s="9"/>
      <c r="E184" s="9"/>
      <c r="F184" s="9"/>
      <c r="G184" s="51"/>
    </row>
    <row r="185" s="6" customFormat="1" ht="15.75" spans="1:7">
      <c r="A185" s="8"/>
      <c r="B185" s="9"/>
      <c r="C185" s="9"/>
      <c r="D185" s="9"/>
      <c r="E185" s="9"/>
      <c r="F185" s="9"/>
      <c r="G185" s="51"/>
    </row>
    <row r="186" s="6" customFormat="1" ht="15.75" spans="1:7">
      <c r="A186" s="8"/>
      <c r="B186" s="9"/>
      <c r="C186" s="9"/>
      <c r="D186" s="9"/>
      <c r="E186" s="9"/>
      <c r="F186" s="9"/>
      <c r="G186" s="51"/>
    </row>
    <row r="187" s="6" customFormat="1" ht="15.75" spans="1:7">
      <c r="A187" s="8"/>
      <c r="B187" s="9"/>
      <c r="C187" s="9"/>
      <c r="D187" s="9"/>
      <c r="E187" s="9"/>
      <c r="F187" s="9"/>
      <c r="G187" s="51"/>
    </row>
    <row r="188" s="6" customFormat="1" ht="15.75" spans="1:7">
      <c r="A188" s="8"/>
      <c r="B188" s="9"/>
      <c r="C188" s="9"/>
      <c r="D188" s="9"/>
      <c r="E188" s="9"/>
      <c r="F188" s="9"/>
      <c r="G188" s="51"/>
    </row>
    <row r="189" s="6" customFormat="1" ht="15.75" spans="1:7">
      <c r="A189" s="8"/>
      <c r="B189" s="9"/>
      <c r="C189" s="9"/>
      <c r="D189" s="9"/>
      <c r="E189" s="9"/>
      <c r="F189" s="9"/>
      <c r="G189" s="51"/>
    </row>
    <row r="190" s="6" customFormat="1" ht="15.75" spans="1:7">
      <c r="A190" s="8"/>
      <c r="B190" s="9"/>
      <c r="C190" s="9"/>
      <c r="D190" s="9"/>
      <c r="E190" s="9"/>
      <c r="F190" s="9"/>
      <c r="G190" s="51"/>
    </row>
    <row r="191" s="6" customFormat="1" ht="15.75" spans="1:7">
      <c r="A191" s="8"/>
      <c r="B191" s="9"/>
      <c r="C191" s="9"/>
      <c r="D191" s="9"/>
      <c r="E191" s="9"/>
      <c r="F191" s="9"/>
      <c r="G191" s="51"/>
    </row>
    <row r="192" s="6" customFormat="1" ht="15.75" spans="1:7">
      <c r="A192" s="8"/>
      <c r="B192" s="9"/>
      <c r="C192" s="9"/>
      <c r="D192" s="9"/>
      <c r="E192" s="9"/>
      <c r="F192" s="9"/>
      <c r="G192" s="51"/>
    </row>
    <row r="193" s="6" customFormat="1" ht="15.75" spans="1:7">
      <c r="A193" s="8"/>
      <c r="B193" s="9"/>
      <c r="C193" s="9"/>
      <c r="D193" s="9"/>
      <c r="E193" s="9"/>
      <c r="F193" s="9"/>
      <c r="G193" s="51"/>
    </row>
    <row r="194" s="6" customFormat="1" ht="15.75" spans="1:7">
      <c r="A194" s="8"/>
      <c r="B194" s="9"/>
      <c r="C194" s="9"/>
      <c r="D194" s="9"/>
      <c r="E194" s="9"/>
      <c r="F194" s="9"/>
      <c r="G194" s="51"/>
    </row>
    <row r="195" s="6" customFormat="1" ht="15.75" spans="1:7">
      <c r="A195" s="8"/>
      <c r="B195" s="9"/>
      <c r="C195" s="9"/>
      <c r="D195" s="9"/>
      <c r="E195" s="9"/>
      <c r="F195" s="9"/>
      <c r="G195" s="51"/>
    </row>
    <row r="196" s="6" customFormat="1" ht="15.75" spans="1:7">
      <c r="A196" s="8"/>
      <c r="B196" s="9"/>
      <c r="C196" s="9"/>
      <c r="D196" s="9"/>
      <c r="E196" s="9"/>
      <c r="F196" s="9"/>
      <c r="G196" s="51"/>
    </row>
    <row r="197" s="6" customFormat="1" ht="15.75" spans="1:7">
      <c r="A197" s="8"/>
      <c r="B197" s="9"/>
      <c r="C197" s="9"/>
      <c r="D197" s="9"/>
      <c r="E197" s="9"/>
      <c r="F197" s="9"/>
      <c r="G197" s="51"/>
    </row>
    <row r="198" s="6" customFormat="1" ht="15.75" spans="1:7">
      <c r="A198" s="8"/>
      <c r="B198" s="9"/>
      <c r="C198" s="9"/>
      <c r="D198" s="9"/>
      <c r="E198" s="9"/>
      <c r="F198" s="9"/>
      <c r="G198" s="51"/>
    </row>
    <row r="199" s="6" customFormat="1" ht="15.75" spans="1:7">
      <c r="A199" s="8"/>
      <c r="B199" s="9"/>
      <c r="C199" s="9"/>
      <c r="D199" s="9"/>
      <c r="E199" s="9"/>
      <c r="F199" s="9"/>
      <c r="G199" s="51"/>
    </row>
    <row r="200" s="6" customFormat="1" ht="15.75" spans="1:8">
      <c r="A200" s="8"/>
      <c r="B200" s="9"/>
      <c r="C200" s="9"/>
      <c r="D200" s="9"/>
      <c r="E200" s="9"/>
      <c r="F200" s="9"/>
      <c r="G200" s="10"/>
      <c r="H200" s="11"/>
    </row>
    <row r="201" s="6" customFormat="1" ht="15.75" spans="1:7">
      <c r="A201" s="8"/>
      <c r="B201" s="9"/>
      <c r="C201" s="9"/>
      <c r="D201" s="9"/>
      <c r="E201" s="9"/>
      <c r="F201" s="9"/>
      <c r="G201" s="51"/>
    </row>
    <row r="202" s="6" customFormat="1" ht="15.75" spans="1:7">
      <c r="A202" s="8"/>
      <c r="B202" s="9"/>
      <c r="C202" s="9"/>
      <c r="D202" s="9"/>
      <c r="E202" s="9"/>
      <c r="F202" s="9"/>
      <c r="G202" s="51"/>
    </row>
    <row r="203" s="6" customFormat="1" ht="15.75" spans="1:7">
      <c r="A203" s="8"/>
      <c r="B203" s="9"/>
      <c r="C203" s="9"/>
      <c r="D203" s="9"/>
      <c r="E203" s="9"/>
      <c r="F203" s="9"/>
      <c r="G203" s="51"/>
    </row>
    <row r="204" s="1" customFormat="1" ht="15.75" spans="1:7">
      <c r="A204" s="8"/>
      <c r="B204" s="9"/>
      <c r="C204" s="9"/>
      <c r="D204" s="9"/>
      <c r="E204" s="9"/>
      <c r="F204" s="9"/>
      <c r="G204" s="14"/>
    </row>
    <row r="205" s="1" customFormat="1" ht="15.75" spans="1:7">
      <c r="A205" s="8"/>
      <c r="B205" s="9"/>
      <c r="C205" s="9"/>
      <c r="D205" s="9"/>
      <c r="E205" s="9"/>
      <c r="F205" s="9"/>
      <c r="G205" s="14"/>
    </row>
    <row r="206" s="1" customFormat="1" ht="15.75" spans="1:7">
      <c r="A206" s="8"/>
      <c r="B206" s="9"/>
      <c r="C206" s="9"/>
      <c r="D206" s="9"/>
      <c r="E206" s="9"/>
      <c r="F206" s="9"/>
      <c r="G206" s="14"/>
    </row>
    <row r="207" s="1" customFormat="1" ht="15.75" spans="1:7">
      <c r="A207" s="8"/>
      <c r="B207" s="9"/>
      <c r="C207" s="9"/>
      <c r="D207" s="9"/>
      <c r="E207" s="9"/>
      <c r="F207" s="9"/>
      <c r="G207" s="14"/>
    </row>
    <row r="208" s="1" customFormat="1" ht="15.75" spans="1:7">
      <c r="A208" s="8"/>
      <c r="B208" s="9"/>
      <c r="C208" s="9"/>
      <c r="D208" s="9"/>
      <c r="E208" s="9"/>
      <c r="F208" s="9"/>
      <c r="G208" s="14"/>
    </row>
    <row r="209" s="1" customFormat="1" ht="15.75" spans="1:7">
      <c r="A209" s="8"/>
      <c r="B209" s="9"/>
      <c r="C209" s="9"/>
      <c r="D209" s="9"/>
      <c r="E209" s="9"/>
      <c r="F209" s="9"/>
      <c r="G209" s="14"/>
    </row>
    <row r="210" s="1" customFormat="1" ht="15.75" spans="1:7">
      <c r="A210" s="8"/>
      <c r="B210" s="9"/>
      <c r="C210" s="9"/>
      <c r="D210" s="9"/>
      <c r="E210" s="9"/>
      <c r="F210" s="9"/>
      <c r="G210" s="14"/>
    </row>
    <row r="211" s="1" customFormat="1" ht="15.75" spans="1:7">
      <c r="A211" s="8"/>
      <c r="B211" s="9"/>
      <c r="C211" s="9"/>
      <c r="D211" s="9"/>
      <c r="E211" s="9"/>
      <c r="F211" s="9"/>
      <c r="G211" s="14"/>
    </row>
    <row r="212" s="1" customFormat="1" ht="15.75" spans="1:7">
      <c r="A212" s="8"/>
      <c r="B212" s="9"/>
      <c r="C212" s="9"/>
      <c r="D212" s="9"/>
      <c r="E212" s="9"/>
      <c r="F212" s="9"/>
      <c r="G212" s="14"/>
    </row>
    <row r="213" s="1" customFormat="1" ht="15.75" spans="1:7">
      <c r="A213" s="8"/>
      <c r="B213" s="9"/>
      <c r="C213" s="9"/>
      <c r="D213" s="9"/>
      <c r="E213" s="9"/>
      <c r="F213" s="9"/>
      <c r="G213" s="14"/>
    </row>
    <row r="214" s="1" customFormat="1" ht="15.75" spans="1:7">
      <c r="A214" s="8"/>
      <c r="B214" s="9"/>
      <c r="C214" s="9"/>
      <c r="D214" s="9"/>
      <c r="E214" s="9"/>
      <c r="F214" s="9"/>
      <c r="G214" s="14"/>
    </row>
    <row r="215" s="1" customFormat="1" ht="15.75" spans="1:7">
      <c r="A215" s="8"/>
      <c r="B215" s="9"/>
      <c r="C215" s="9"/>
      <c r="D215" s="9"/>
      <c r="E215" s="9"/>
      <c r="F215" s="9"/>
      <c r="G215" s="14"/>
    </row>
    <row r="216" s="1" customFormat="1" ht="15.75" spans="1:7">
      <c r="A216" s="8"/>
      <c r="B216" s="9"/>
      <c r="C216" s="9"/>
      <c r="D216" s="9"/>
      <c r="E216" s="9"/>
      <c r="F216" s="9"/>
      <c r="G216" s="14"/>
    </row>
    <row r="217" s="1" customFormat="1" ht="15.75" spans="1:7">
      <c r="A217" s="8"/>
      <c r="B217" s="9"/>
      <c r="C217" s="9"/>
      <c r="D217" s="9"/>
      <c r="E217" s="9"/>
      <c r="F217" s="9"/>
      <c r="G217" s="14"/>
    </row>
    <row r="218" s="1" customFormat="1" ht="15.75" spans="1:7">
      <c r="A218" s="8"/>
      <c r="B218" s="9"/>
      <c r="C218" s="9"/>
      <c r="D218" s="9"/>
      <c r="E218" s="9"/>
      <c r="F218" s="9"/>
      <c r="G218" s="14"/>
    </row>
    <row r="219" s="1" customFormat="1" ht="15.75" spans="1:7">
      <c r="A219" s="8"/>
      <c r="B219" s="9"/>
      <c r="C219" s="9"/>
      <c r="D219" s="9"/>
      <c r="E219" s="9"/>
      <c r="F219" s="9"/>
      <c r="G219" s="14"/>
    </row>
    <row r="220" s="1" customFormat="1" ht="15.75" spans="1:7">
      <c r="A220" s="8"/>
      <c r="B220" s="9"/>
      <c r="C220" s="9"/>
      <c r="D220" s="9"/>
      <c r="E220" s="9"/>
      <c r="F220" s="9"/>
      <c r="G220" s="14"/>
    </row>
    <row r="221" s="1" customFormat="1" ht="15.75" spans="1:7">
      <c r="A221" s="8"/>
      <c r="B221" s="9"/>
      <c r="C221" s="9"/>
      <c r="D221" s="9"/>
      <c r="E221" s="9"/>
      <c r="F221" s="9"/>
      <c r="G221" s="14"/>
    </row>
    <row r="222" s="1" customFormat="1" ht="15.75" spans="1:7">
      <c r="A222" s="8"/>
      <c r="B222" s="9"/>
      <c r="C222" s="9"/>
      <c r="D222" s="9"/>
      <c r="E222" s="9"/>
      <c r="F222" s="9"/>
      <c r="G222" s="14"/>
    </row>
    <row r="223" s="1" customFormat="1" ht="15.75" spans="1:7">
      <c r="A223" s="8"/>
      <c r="B223" s="9"/>
      <c r="C223" s="9"/>
      <c r="D223" s="9"/>
      <c r="E223" s="9"/>
      <c r="F223" s="9"/>
      <c r="G223" s="14"/>
    </row>
    <row r="224" s="1" customFormat="1" ht="15.75" spans="1:7">
      <c r="A224" s="8"/>
      <c r="B224" s="9"/>
      <c r="C224" s="9"/>
      <c r="D224" s="9"/>
      <c r="E224" s="9"/>
      <c r="F224" s="9"/>
      <c r="G224" s="14"/>
    </row>
    <row r="225" s="1" customFormat="1" ht="15.75" spans="1:7">
      <c r="A225" s="8"/>
      <c r="B225" s="9"/>
      <c r="C225" s="9"/>
      <c r="D225" s="9"/>
      <c r="E225" s="9"/>
      <c r="F225" s="9"/>
      <c r="G225" s="14"/>
    </row>
    <row r="226" s="1" customFormat="1" ht="15.75" spans="1:7">
      <c r="A226" s="8"/>
      <c r="B226" s="9"/>
      <c r="C226" s="9"/>
      <c r="D226" s="9"/>
      <c r="E226" s="9"/>
      <c r="F226" s="9"/>
      <c r="G226" s="14"/>
    </row>
    <row r="227" s="1" customFormat="1" ht="15.75" spans="1:7">
      <c r="A227" s="8"/>
      <c r="B227" s="9"/>
      <c r="C227" s="9"/>
      <c r="D227" s="9"/>
      <c r="E227" s="9"/>
      <c r="F227" s="9"/>
      <c r="G227" s="14"/>
    </row>
    <row r="228" s="1" customFormat="1" ht="15.75" spans="1:7">
      <c r="A228" s="8"/>
      <c r="B228" s="9"/>
      <c r="C228" s="9"/>
      <c r="D228" s="9"/>
      <c r="E228" s="9"/>
      <c r="F228" s="9"/>
      <c r="G228" s="14"/>
    </row>
    <row r="229" s="1" customFormat="1" ht="15.75" spans="1:7">
      <c r="A229" s="8"/>
      <c r="B229" s="9"/>
      <c r="C229" s="9"/>
      <c r="D229" s="9"/>
      <c r="E229" s="9"/>
      <c r="F229" s="9"/>
      <c r="G229" s="14"/>
    </row>
    <row r="230" s="1" customFormat="1" ht="15.75" spans="1:7">
      <c r="A230" s="8"/>
      <c r="B230" s="9"/>
      <c r="C230" s="9"/>
      <c r="D230" s="9"/>
      <c r="E230" s="9"/>
      <c r="F230" s="9"/>
      <c r="G230" s="14"/>
    </row>
    <row r="231" s="1" customFormat="1" ht="15.75" spans="1:7">
      <c r="A231" s="8"/>
      <c r="B231" s="9"/>
      <c r="C231" s="9"/>
      <c r="D231" s="9"/>
      <c r="E231" s="9"/>
      <c r="F231" s="9"/>
      <c r="G231" s="14"/>
    </row>
    <row r="232" s="1" customFormat="1" ht="15.75" spans="1:7">
      <c r="A232" s="8"/>
      <c r="B232" s="9"/>
      <c r="C232" s="9"/>
      <c r="D232" s="9"/>
      <c r="E232" s="9"/>
      <c r="F232" s="9"/>
      <c r="G232" s="14"/>
    </row>
    <row r="233" s="1" customFormat="1" ht="15.75" spans="1:7">
      <c r="A233" s="8"/>
      <c r="B233" s="9"/>
      <c r="C233" s="9"/>
      <c r="D233" s="9"/>
      <c r="E233" s="9"/>
      <c r="F233" s="9"/>
      <c r="G233" s="14"/>
    </row>
    <row r="234" s="1" customFormat="1" ht="15.75" spans="1:7">
      <c r="A234" s="8"/>
      <c r="B234" s="9"/>
      <c r="C234" s="9"/>
      <c r="D234" s="9"/>
      <c r="E234" s="9"/>
      <c r="F234" s="9"/>
      <c r="G234" s="14"/>
    </row>
    <row r="235" s="1" customFormat="1" ht="15.75" spans="1:7">
      <c r="A235" s="8"/>
      <c r="B235" s="9"/>
      <c r="C235" s="9"/>
      <c r="D235" s="9"/>
      <c r="E235" s="9"/>
      <c r="F235" s="9"/>
      <c r="G235" s="14"/>
    </row>
    <row r="236" s="1" customFormat="1" ht="15.75" spans="1:7">
      <c r="A236" s="8"/>
      <c r="B236" s="9"/>
      <c r="C236" s="9"/>
      <c r="D236" s="9"/>
      <c r="E236" s="9"/>
      <c r="F236" s="9"/>
      <c r="G236" s="14"/>
    </row>
    <row r="237" s="1" customFormat="1" ht="15.75" spans="1:7">
      <c r="A237" s="8"/>
      <c r="B237" s="9"/>
      <c r="C237" s="9"/>
      <c r="D237" s="9"/>
      <c r="E237" s="9"/>
      <c r="F237" s="9"/>
      <c r="G237" s="14"/>
    </row>
    <row r="238" s="1" customFormat="1" ht="15.75" spans="1:7">
      <c r="A238" s="8"/>
      <c r="B238" s="9"/>
      <c r="C238" s="9"/>
      <c r="D238" s="9"/>
      <c r="E238" s="9"/>
      <c r="F238" s="9"/>
      <c r="G238" s="14"/>
    </row>
    <row r="239" s="1" customFormat="1" ht="15.75" spans="1:7">
      <c r="A239" s="8"/>
      <c r="B239" s="9"/>
      <c r="C239" s="9"/>
      <c r="D239" s="9"/>
      <c r="E239" s="9"/>
      <c r="F239" s="9"/>
      <c r="G239" s="14"/>
    </row>
    <row r="240" s="1" customFormat="1" ht="15.75" spans="1:7">
      <c r="A240" s="8"/>
      <c r="B240" s="9"/>
      <c r="C240" s="9"/>
      <c r="D240" s="9"/>
      <c r="E240" s="9"/>
      <c r="F240" s="9"/>
      <c r="G240" s="14"/>
    </row>
    <row r="241" s="1" customFormat="1" ht="15.75" spans="1:7">
      <c r="A241" s="8"/>
      <c r="B241" s="9"/>
      <c r="C241" s="9"/>
      <c r="D241" s="9"/>
      <c r="E241" s="9"/>
      <c r="F241" s="9"/>
      <c r="G241" s="14"/>
    </row>
    <row r="242" s="1" customFormat="1" ht="15.75" spans="1:7">
      <c r="A242" s="8"/>
      <c r="B242" s="9"/>
      <c r="C242" s="9"/>
      <c r="D242" s="9"/>
      <c r="E242" s="9"/>
      <c r="F242" s="9"/>
      <c r="G242" s="14"/>
    </row>
    <row r="243" s="1" customFormat="1" ht="15.75" spans="1:7">
      <c r="A243" s="8"/>
      <c r="B243" s="9"/>
      <c r="C243" s="9"/>
      <c r="D243" s="9"/>
      <c r="E243" s="9"/>
      <c r="F243" s="9"/>
      <c r="G243" s="14"/>
    </row>
    <row r="244" s="1" customFormat="1" ht="15.75" spans="1:7">
      <c r="A244" s="8"/>
      <c r="B244" s="9"/>
      <c r="C244" s="9"/>
      <c r="D244" s="9"/>
      <c r="E244" s="9"/>
      <c r="F244" s="9"/>
      <c r="G244" s="14"/>
    </row>
    <row r="245" s="1" customFormat="1" ht="15.75" spans="1:7">
      <c r="A245" s="8"/>
      <c r="B245" s="9"/>
      <c r="C245" s="9"/>
      <c r="D245" s="9"/>
      <c r="E245" s="9"/>
      <c r="F245" s="9"/>
      <c r="G245" s="14"/>
    </row>
    <row r="246" s="1" customFormat="1" ht="15.75" spans="1:7">
      <c r="A246" s="8"/>
      <c r="B246" s="9"/>
      <c r="C246" s="9"/>
      <c r="D246" s="9"/>
      <c r="E246" s="9"/>
      <c r="F246" s="9"/>
      <c r="G246" s="14"/>
    </row>
    <row r="247" s="1" customFormat="1" ht="15.75" spans="1:7">
      <c r="A247" s="8"/>
      <c r="B247" s="9"/>
      <c r="C247" s="9"/>
      <c r="D247" s="9"/>
      <c r="E247" s="9"/>
      <c r="F247" s="9"/>
      <c r="G247" s="14"/>
    </row>
    <row r="248" s="1" customFormat="1" ht="15.75" spans="1:7">
      <c r="A248" s="8"/>
      <c r="B248" s="9"/>
      <c r="C248" s="9"/>
      <c r="D248" s="9"/>
      <c r="E248" s="9"/>
      <c r="F248" s="9"/>
      <c r="G248" s="14"/>
    </row>
    <row r="249" s="1" customFormat="1" ht="15.75" spans="1:7">
      <c r="A249" s="8"/>
      <c r="B249" s="9"/>
      <c r="C249" s="9"/>
      <c r="D249" s="9"/>
      <c r="E249" s="9"/>
      <c r="F249" s="9"/>
      <c r="G249" s="14"/>
    </row>
    <row r="250" s="1" customFormat="1" ht="15.75" spans="1:7">
      <c r="A250" s="8"/>
      <c r="B250" s="9"/>
      <c r="C250" s="9"/>
      <c r="D250" s="9"/>
      <c r="E250" s="9"/>
      <c r="F250" s="9"/>
      <c r="G250" s="14"/>
    </row>
    <row r="251" s="1" customFormat="1" ht="15.75" spans="1:7">
      <c r="A251" s="8"/>
      <c r="B251" s="9"/>
      <c r="C251" s="9"/>
      <c r="D251" s="9"/>
      <c r="E251" s="9"/>
      <c r="F251" s="9"/>
      <c r="G251" s="14"/>
    </row>
    <row r="252" s="1" customFormat="1" ht="15.75" spans="1:7">
      <c r="A252" s="8"/>
      <c r="B252" s="9"/>
      <c r="C252" s="9"/>
      <c r="D252" s="9"/>
      <c r="E252" s="9"/>
      <c r="F252" s="9"/>
      <c r="G252" s="14"/>
    </row>
    <row r="253" s="1" customFormat="1" ht="15.75" spans="1:7">
      <c r="A253" s="8"/>
      <c r="B253" s="9"/>
      <c r="C253" s="9"/>
      <c r="D253" s="9"/>
      <c r="E253" s="9"/>
      <c r="F253" s="9"/>
      <c r="G253" s="14"/>
    </row>
    <row r="254" s="1" customFormat="1" ht="15.75" spans="1:7">
      <c r="A254" s="8"/>
      <c r="B254" s="9"/>
      <c r="C254" s="9"/>
      <c r="D254" s="9"/>
      <c r="E254" s="9"/>
      <c r="F254" s="9"/>
      <c r="G254" s="14"/>
    </row>
    <row r="255" s="1" customFormat="1" ht="15.75" spans="1:7">
      <c r="A255" s="8"/>
      <c r="B255" s="9"/>
      <c r="C255" s="9"/>
      <c r="D255" s="9"/>
      <c r="E255" s="9"/>
      <c r="F255" s="9"/>
      <c r="G255" s="14"/>
    </row>
    <row r="256" s="1" customFormat="1" ht="15.75" spans="1:7">
      <c r="A256" s="8"/>
      <c r="B256" s="9"/>
      <c r="C256" s="9"/>
      <c r="D256" s="9"/>
      <c r="E256" s="9"/>
      <c r="F256" s="9"/>
      <c r="G256" s="14"/>
    </row>
    <row r="257" s="1" customFormat="1" ht="15.75" spans="1:7">
      <c r="A257" s="8"/>
      <c r="B257" s="9"/>
      <c r="C257" s="9"/>
      <c r="D257" s="9"/>
      <c r="E257" s="9"/>
      <c r="F257" s="9"/>
      <c r="G257" s="14"/>
    </row>
    <row r="258" s="7" customFormat="1" ht="15.75" spans="1:7">
      <c r="A258" s="8"/>
      <c r="B258" s="9"/>
      <c r="C258" s="9"/>
      <c r="D258" s="9"/>
      <c r="E258" s="9"/>
      <c r="F258" s="9"/>
      <c r="G258" s="53"/>
    </row>
    <row r="259" s="7" customFormat="1" ht="15.75" spans="1:7">
      <c r="A259" s="8"/>
      <c r="B259" s="9"/>
      <c r="C259" s="9"/>
      <c r="D259" s="9"/>
      <c r="E259" s="9"/>
      <c r="F259" s="9"/>
      <c r="G259" s="53"/>
    </row>
    <row r="260" s="7" customFormat="1" ht="15.75" spans="1:7">
      <c r="A260" s="8"/>
      <c r="B260" s="9"/>
      <c r="C260" s="9"/>
      <c r="D260" s="9"/>
      <c r="E260" s="9"/>
      <c r="F260" s="9"/>
      <c r="G260" s="53"/>
    </row>
    <row r="261" s="7" customFormat="1" ht="15.75" spans="1:7">
      <c r="A261" s="8"/>
      <c r="B261" s="9"/>
      <c r="C261" s="9"/>
      <c r="D261" s="9"/>
      <c r="E261" s="9"/>
      <c r="F261" s="9"/>
      <c r="G261" s="53"/>
    </row>
    <row r="262" s="7" customFormat="1" ht="15.75" spans="1:7">
      <c r="A262" s="8"/>
      <c r="B262" s="9"/>
      <c r="C262" s="9"/>
      <c r="D262" s="9"/>
      <c r="E262" s="9"/>
      <c r="F262" s="9"/>
      <c r="G262" s="53"/>
    </row>
    <row r="263" s="7" customFormat="1" ht="15.75" spans="1:7">
      <c r="A263" s="8"/>
      <c r="B263" s="9"/>
      <c r="C263" s="9"/>
      <c r="D263" s="9"/>
      <c r="E263" s="9"/>
      <c r="F263" s="9"/>
      <c r="G263" s="53"/>
    </row>
    <row r="264" s="7" customFormat="1" ht="15.75" spans="1:7">
      <c r="A264" s="8"/>
      <c r="B264" s="9"/>
      <c r="C264" s="9"/>
      <c r="D264" s="9"/>
      <c r="E264" s="9"/>
      <c r="F264" s="9"/>
      <c r="G264" s="53"/>
    </row>
    <row r="265" s="7" customFormat="1" ht="15.75" spans="1:7">
      <c r="A265" s="8"/>
      <c r="B265" s="9"/>
      <c r="C265" s="9"/>
      <c r="D265" s="9"/>
      <c r="E265" s="9"/>
      <c r="F265" s="9"/>
      <c r="G265" s="53"/>
    </row>
    <row r="266" s="7" customFormat="1" ht="15.75" spans="1:7">
      <c r="A266" s="8"/>
      <c r="B266" s="9"/>
      <c r="C266" s="9"/>
      <c r="D266" s="9"/>
      <c r="E266" s="9"/>
      <c r="F266" s="9"/>
      <c r="G266" s="53"/>
    </row>
    <row r="267" s="7" customFormat="1" ht="15.75" spans="1:7">
      <c r="A267" s="8"/>
      <c r="B267" s="9"/>
      <c r="C267" s="9"/>
      <c r="D267" s="9"/>
      <c r="E267" s="9"/>
      <c r="F267" s="9"/>
      <c r="G267" s="53"/>
    </row>
    <row r="268" s="7" customFormat="1" ht="15.75" spans="1:7">
      <c r="A268" s="8"/>
      <c r="B268" s="9"/>
      <c r="C268" s="9"/>
      <c r="D268" s="9"/>
      <c r="E268" s="9"/>
      <c r="F268" s="9"/>
      <c r="G268" s="53"/>
    </row>
    <row r="269" s="7" customFormat="1" ht="15.75" spans="1:7">
      <c r="A269" s="8"/>
      <c r="B269" s="9"/>
      <c r="C269" s="9"/>
      <c r="D269" s="9"/>
      <c r="E269" s="9"/>
      <c r="F269" s="9"/>
      <c r="G269" s="53"/>
    </row>
    <row r="270" s="7" customFormat="1" ht="15.75" spans="1:7">
      <c r="A270" s="8"/>
      <c r="B270" s="9"/>
      <c r="C270" s="9"/>
      <c r="D270" s="9"/>
      <c r="E270" s="9"/>
      <c r="F270" s="9"/>
      <c r="G270" s="53"/>
    </row>
    <row r="271" s="7" customFormat="1" ht="15.75" spans="1:7">
      <c r="A271" s="8"/>
      <c r="B271" s="9"/>
      <c r="C271" s="9"/>
      <c r="D271" s="9"/>
      <c r="E271" s="9"/>
      <c r="F271" s="9"/>
      <c r="G271" s="53"/>
    </row>
    <row r="272" s="7" customFormat="1" ht="15.75" spans="1:7">
      <c r="A272" s="8"/>
      <c r="B272" s="9"/>
      <c r="C272" s="9"/>
      <c r="D272" s="9"/>
      <c r="E272" s="9"/>
      <c r="F272" s="9"/>
      <c r="G272" s="53"/>
    </row>
    <row r="273" s="7" customFormat="1" ht="15.75" spans="1:7">
      <c r="A273" s="8"/>
      <c r="B273" s="9"/>
      <c r="C273" s="9"/>
      <c r="D273" s="9"/>
      <c r="E273" s="9"/>
      <c r="F273" s="9"/>
      <c r="G273" s="53"/>
    </row>
    <row r="274" s="7" customFormat="1" ht="15.75" spans="1:7">
      <c r="A274" s="8"/>
      <c r="B274" s="9"/>
      <c r="C274" s="9"/>
      <c r="D274" s="9"/>
      <c r="E274" s="9"/>
      <c r="F274" s="9"/>
      <c r="G274" s="53"/>
    </row>
    <row r="275" s="7" customFormat="1" ht="15.75" spans="1:7">
      <c r="A275" s="8"/>
      <c r="B275" s="9"/>
      <c r="C275" s="9"/>
      <c r="D275" s="9"/>
      <c r="E275" s="9"/>
      <c r="F275" s="9"/>
      <c r="G275" s="53"/>
    </row>
    <row r="276" s="7" customFormat="1" ht="15.75" spans="1:7">
      <c r="A276" s="8"/>
      <c r="B276" s="9"/>
      <c r="C276" s="9"/>
      <c r="D276" s="9"/>
      <c r="E276" s="9"/>
      <c r="F276" s="9"/>
      <c r="G276" s="53"/>
    </row>
    <row r="277" s="7" customFormat="1" ht="15.75" spans="1:7">
      <c r="A277" s="8"/>
      <c r="B277" s="9"/>
      <c r="C277" s="9"/>
      <c r="D277" s="9"/>
      <c r="E277" s="9"/>
      <c r="F277" s="9"/>
      <c r="G277" s="53"/>
    </row>
    <row r="278" s="7" customFormat="1" ht="15.75" spans="1:7">
      <c r="A278" s="8"/>
      <c r="B278" s="9"/>
      <c r="C278" s="9"/>
      <c r="D278" s="9"/>
      <c r="E278" s="9"/>
      <c r="F278" s="9"/>
      <c r="G278" s="53"/>
    </row>
    <row r="279" s="7" customFormat="1" ht="15.75" spans="1:7">
      <c r="A279" s="8"/>
      <c r="B279" s="9"/>
      <c r="C279" s="9"/>
      <c r="D279" s="9"/>
      <c r="E279" s="9"/>
      <c r="F279" s="9"/>
      <c r="G279" s="53"/>
    </row>
    <row r="280" s="7" customFormat="1" ht="15.75" spans="1:7">
      <c r="A280" s="8"/>
      <c r="B280" s="9"/>
      <c r="C280" s="9"/>
      <c r="D280" s="9"/>
      <c r="E280" s="9"/>
      <c r="F280" s="9"/>
      <c r="G280" s="53"/>
    </row>
    <row r="281" s="7" customFormat="1" ht="15.75" spans="1:7">
      <c r="A281" s="8"/>
      <c r="B281" s="9"/>
      <c r="C281" s="9"/>
      <c r="D281" s="9"/>
      <c r="E281" s="9"/>
      <c r="F281" s="9"/>
      <c r="G281" s="53"/>
    </row>
    <row r="282" s="7" customFormat="1" ht="15.75" spans="1:7">
      <c r="A282" s="8"/>
      <c r="B282" s="9"/>
      <c r="C282" s="9"/>
      <c r="D282" s="9"/>
      <c r="E282" s="9"/>
      <c r="F282" s="9"/>
      <c r="G282" s="53"/>
    </row>
    <row r="283" s="1" customFormat="1" ht="15.75" spans="1:7">
      <c r="A283" s="8"/>
      <c r="B283" s="9"/>
      <c r="C283" s="9"/>
      <c r="D283" s="9"/>
      <c r="E283" s="9"/>
      <c r="F283" s="9"/>
      <c r="G283" s="14"/>
    </row>
    <row r="284" s="1" customFormat="1" ht="15.75" spans="1:7">
      <c r="A284" s="8"/>
      <c r="B284" s="9"/>
      <c r="C284" s="9"/>
      <c r="D284" s="9"/>
      <c r="E284" s="9"/>
      <c r="F284" s="9"/>
      <c r="G284" s="14"/>
    </row>
    <row r="285" s="1" customFormat="1" ht="15.75" spans="1:7">
      <c r="A285" s="8"/>
      <c r="B285" s="9"/>
      <c r="C285" s="9"/>
      <c r="D285" s="9"/>
      <c r="E285" s="9"/>
      <c r="F285" s="9"/>
      <c r="G285" s="14"/>
    </row>
    <row r="286" s="1" customFormat="1" ht="15.75" spans="1:7">
      <c r="A286" s="8"/>
      <c r="B286" s="9"/>
      <c r="C286" s="9"/>
      <c r="D286" s="9"/>
      <c r="E286" s="9"/>
      <c r="F286" s="9"/>
      <c r="G286" s="14"/>
    </row>
    <row r="287" s="7" customFormat="1" ht="15.75" spans="1:7">
      <c r="A287" s="8"/>
      <c r="B287" s="9"/>
      <c r="C287" s="9"/>
      <c r="D287" s="9"/>
      <c r="E287" s="9"/>
      <c r="F287" s="9"/>
      <c r="G287" s="53"/>
    </row>
    <row r="288" s="7" customFormat="1" ht="15.75" spans="1:7">
      <c r="A288" s="8"/>
      <c r="B288" s="9"/>
      <c r="C288" s="9"/>
      <c r="D288" s="9"/>
      <c r="E288" s="9"/>
      <c r="F288" s="9"/>
      <c r="G288" s="53"/>
    </row>
    <row r="289" s="7" customFormat="1" ht="15.75" spans="1:7">
      <c r="A289" s="8"/>
      <c r="B289" s="9"/>
      <c r="C289" s="9"/>
      <c r="D289" s="9"/>
      <c r="E289" s="9"/>
      <c r="F289" s="9"/>
      <c r="G289" s="53"/>
    </row>
    <row r="290" s="7" customFormat="1" ht="15.75" spans="1:7">
      <c r="A290" s="8"/>
      <c r="B290" s="9"/>
      <c r="C290" s="9"/>
      <c r="D290" s="9"/>
      <c r="E290" s="9"/>
      <c r="F290" s="9"/>
      <c r="G290" s="53"/>
    </row>
    <row r="291" s="7" customFormat="1" ht="15.75" spans="1:7">
      <c r="A291" s="8"/>
      <c r="B291" s="9"/>
      <c r="C291" s="9"/>
      <c r="D291" s="9"/>
      <c r="E291" s="9"/>
      <c r="F291" s="9"/>
      <c r="G291" s="53"/>
    </row>
    <row r="292" s="7" customFormat="1" ht="15.75" spans="1:7">
      <c r="A292" s="8"/>
      <c r="B292" s="9"/>
      <c r="C292" s="9"/>
      <c r="D292" s="9"/>
      <c r="E292" s="9"/>
      <c r="F292" s="9"/>
      <c r="G292" s="53"/>
    </row>
    <row r="293" s="7" customFormat="1" ht="15.75" spans="1:7">
      <c r="A293" s="8"/>
      <c r="B293" s="9"/>
      <c r="C293" s="9"/>
      <c r="D293" s="9"/>
      <c r="E293" s="9"/>
      <c r="F293" s="9"/>
      <c r="G293" s="53"/>
    </row>
    <row r="294" s="7" customFormat="1" ht="15.75" spans="1:7">
      <c r="A294" s="8"/>
      <c r="B294" s="9"/>
      <c r="C294" s="9"/>
      <c r="D294" s="9"/>
      <c r="E294" s="9"/>
      <c r="F294" s="9"/>
      <c r="G294" s="53"/>
    </row>
    <row r="295" s="7" customFormat="1" ht="15.75" spans="1:7">
      <c r="A295" s="8"/>
      <c r="B295" s="9"/>
      <c r="C295" s="9"/>
      <c r="D295" s="9"/>
      <c r="E295" s="9"/>
      <c r="F295" s="9"/>
      <c r="G295" s="53"/>
    </row>
    <row r="296" s="7" customFormat="1" ht="15.75" spans="1:7">
      <c r="A296" s="8"/>
      <c r="B296" s="9"/>
      <c r="C296" s="9"/>
      <c r="D296" s="9"/>
      <c r="E296" s="9"/>
      <c r="F296" s="9"/>
      <c r="G296" s="53"/>
    </row>
    <row r="297" s="7" customFormat="1" ht="15.75" spans="1:7">
      <c r="A297" s="8"/>
      <c r="B297" s="9"/>
      <c r="C297" s="9"/>
      <c r="D297" s="9"/>
      <c r="E297" s="9"/>
      <c r="F297" s="9"/>
      <c r="G297" s="53"/>
    </row>
    <row r="298" s="7" customFormat="1" ht="15.75" spans="1:7">
      <c r="A298" s="8"/>
      <c r="B298" s="9"/>
      <c r="C298" s="9"/>
      <c r="D298" s="9"/>
      <c r="E298" s="9"/>
      <c r="F298" s="9"/>
      <c r="G298" s="53"/>
    </row>
    <row r="299" s="7" customFormat="1" ht="15.75" spans="1:7">
      <c r="A299" s="8"/>
      <c r="B299" s="9"/>
      <c r="C299" s="9"/>
      <c r="D299" s="9"/>
      <c r="E299" s="9"/>
      <c r="F299" s="9"/>
      <c r="G299" s="53"/>
    </row>
    <row r="300" s="7" customFormat="1" ht="15.75" spans="1:7">
      <c r="A300" s="8"/>
      <c r="B300" s="9"/>
      <c r="C300" s="9"/>
      <c r="D300" s="9"/>
      <c r="E300" s="9"/>
      <c r="F300" s="9"/>
      <c r="G300" s="53"/>
    </row>
    <row r="301" s="7" customFormat="1" ht="15.75" spans="1:7">
      <c r="A301" s="8"/>
      <c r="B301" s="9"/>
      <c r="C301" s="9"/>
      <c r="D301" s="9"/>
      <c r="E301" s="9"/>
      <c r="F301" s="9"/>
      <c r="G301" s="53"/>
    </row>
    <row r="302" s="7" customFormat="1" ht="15.75" spans="1:7">
      <c r="A302" s="8"/>
      <c r="B302" s="9"/>
      <c r="C302" s="9"/>
      <c r="D302" s="9"/>
      <c r="E302" s="9"/>
      <c r="F302" s="9"/>
      <c r="G302" s="53"/>
    </row>
    <row r="303" s="7" customFormat="1" ht="15.75" spans="1:7">
      <c r="A303" s="8"/>
      <c r="B303" s="9"/>
      <c r="C303" s="9"/>
      <c r="D303" s="9"/>
      <c r="E303" s="9"/>
      <c r="F303" s="9"/>
      <c r="G303" s="53"/>
    </row>
    <row r="304" s="7" customFormat="1" ht="15.75" spans="1:7">
      <c r="A304" s="8"/>
      <c r="B304" s="9"/>
      <c r="C304" s="9"/>
      <c r="D304" s="9"/>
      <c r="E304" s="9"/>
      <c r="F304" s="9"/>
      <c r="G304" s="53"/>
    </row>
    <row r="305" s="7" customFormat="1" ht="15.75" spans="1:7">
      <c r="A305" s="8"/>
      <c r="B305" s="9"/>
      <c r="C305" s="9"/>
      <c r="D305" s="9"/>
      <c r="E305" s="9"/>
      <c r="F305" s="9"/>
      <c r="G305" s="53"/>
    </row>
    <row r="306" s="7" customFormat="1" ht="15.75" spans="1:7">
      <c r="A306" s="8"/>
      <c r="B306" s="9"/>
      <c r="C306" s="9"/>
      <c r="D306" s="9"/>
      <c r="E306" s="9"/>
      <c r="F306" s="9"/>
      <c r="G306" s="53"/>
    </row>
    <row r="307" s="7" customFormat="1" ht="15.75" spans="1:7">
      <c r="A307" s="8"/>
      <c r="B307" s="9"/>
      <c r="C307" s="9"/>
      <c r="D307" s="9"/>
      <c r="E307" s="9"/>
      <c r="F307" s="9"/>
      <c r="G307" s="53"/>
    </row>
    <row r="308" s="7" customFormat="1" ht="15.75" spans="1:7">
      <c r="A308" s="8"/>
      <c r="B308" s="9"/>
      <c r="C308" s="9"/>
      <c r="D308" s="9"/>
      <c r="E308" s="9"/>
      <c r="F308" s="9"/>
      <c r="G308" s="53"/>
    </row>
    <row r="309" s="7" customFormat="1" ht="15.75" spans="1:7">
      <c r="A309" s="8"/>
      <c r="B309" s="9"/>
      <c r="C309" s="9"/>
      <c r="D309" s="9"/>
      <c r="E309" s="9"/>
      <c r="F309" s="9"/>
      <c r="G309" s="53"/>
    </row>
    <row r="310" s="7" customFormat="1" ht="15.75" spans="1:7">
      <c r="A310" s="8"/>
      <c r="B310" s="9"/>
      <c r="C310" s="9"/>
      <c r="D310" s="9"/>
      <c r="E310" s="9"/>
      <c r="F310" s="9"/>
      <c r="G310" s="53"/>
    </row>
    <row r="311" s="1" customFormat="1" ht="15.75" spans="1:7">
      <c r="A311" s="8"/>
      <c r="B311" s="9"/>
      <c r="C311" s="9"/>
      <c r="D311" s="9"/>
      <c r="E311" s="9"/>
      <c r="F311" s="9"/>
      <c r="G311" s="14"/>
    </row>
    <row r="312" s="1" customFormat="1" ht="15.75" spans="1:7">
      <c r="A312" s="8"/>
      <c r="B312" s="9"/>
      <c r="C312" s="9"/>
      <c r="D312" s="9"/>
      <c r="E312" s="9"/>
      <c r="F312" s="9"/>
      <c r="G312" s="14"/>
    </row>
    <row r="313" s="1" customFormat="1" ht="15.75" spans="1:7">
      <c r="A313" s="8"/>
      <c r="B313" s="9"/>
      <c r="C313" s="9"/>
      <c r="D313" s="9"/>
      <c r="E313" s="9"/>
      <c r="F313" s="9"/>
      <c r="G313" s="14"/>
    </row>
    <row r="314" s="1" customFormat="1" ht="15.75" spans="1:7">
      <c r="A314" s="8"/>
      <c r="B314" s="9"/>
      <c r="C314" s="9"/>
      <c r="D314" s="9"/>
      <c r="E314" s="9"/>
      <c r="F314" s="9"/>
      <c r="G314" s="14"/>
    </row>
    <row r="315" s="1" customFormat="1" ht="15.75" spans="1:7">
      <c r="A315" s="8"/>
      <c r="B315" s="9"/>
      <c r="C315" s="9"/>
      <c r="D315" s="9"/>
      <c r="E315" s="9"/>
      <c r="F315" s="9"/>
      <c r="G315" s="14"/>
    </row>
    <row r="316" s="1" customFormat="1" ht="15.75" spans="1:7">
      <c r="A316" s="8"/>
      <c r="B316" s="9"/>
      <c r="C316" s="9"/>
      <c r="D316" s="9"/>
      <c r="E316" s="9"/>
      <c r="F316" s="9"/>
      <c r="G316" s="14"/>
    </row>
    <row r="317" s="1" customFormat="1" ht="15.75" spans="1:7">
      <c r="A317" s="8"/>
      <c r="B317" s="9"/>
      <c r="C317" s="9"/>
      <c r="D317" s="9"/>
      <c r="E317" s="9"/>
      <c r="F317" s="9"/>
      <c r="G317" s="14"/>
    </row>
    <row r="318" s="1" customFormat="1" ht="15.75" spans="1:7">
      <c r="A318" s="8"/>
      <c r="B318" s="9"/>
      <c r="C318" s="9"/>
      <c r="D318" s="9"/>
      <c r="E318" s="9"/>
      <c r="F318" s="9"/>
      <c r="G318" s="14"/>
    </row>
    <row r="319" s="1" customFormat="1" ht="15.75" spans="1:7">
      <c r="A319" s="8"/>
      <c r="B319" s="9"/>
      <c r="C319" s="9"/>
      <c r="D319" s="9"/>
      <c r="E319" s="9"/>
      <c r="F319" s="9"/>
      <c r="G319" s="14"/>
    </row>
    <row r="320" s="1" customFormat="1" ht="15.75" spans="1:7">
      <c r="A320" s="8"/>
      <c r="B320" s="9"/>
      <c r="C320" s="9"/>
      <c r="D320" s="9"/>
      <c r="E320" s="9"/>
      <c r="F320" s="9"/>
      <c r="G320" s="14"/>
    </row>
    <row r="321" s="1" customFormat="1" ht="15.75" spans="1:7">
      <c r="A321" s="8"/>
      <c r="B321" s="9"/>
      <c r="C321" s="9"/>
      <c r="D321" s="9"/>
      <c r="E321" s="9"/>
      <c r="F321" s="9"/>
      <c r="G321" s="14"/>
    </row>
    <row r="322" s="1" customFormat="1" ht="15.75" spans="1:7">
      <c r="A322" s="8"/>
      <c r="B322" s="9"/>
      <c r="C322" s="9"/>
      <c r="D322" s="9"/>
      <c r="E322" s="9"/>
      <c r="F322" s="9"/>
      <c r="G322" s="14"/>
    </row>
    <row r="323" s="1" customFormat="1" ht="15.75" spans="1:7">
      <c r="A323" s="8"/>
      <c r="B323" s="9"/>
      <c r="C323" s="9"/>
      <c r="D323" s="9"/>
      <c r="E323" s="9"/>
      <c r="F323" s="9"/>
      <c r="G323" s="14"/>
    </row>
    <row r="324" s="1" customFormat="1" ht="15.75" spans="1:7">
      <c r="A324" s="8"/>
      <c r="B324" s="9"/>
      <c r="C324" s="9"/>
      <c r="D324" s="9"/>
      <c r="E324" s="9"/>
      <c r="F324" s="9"/>
      <c r="G324" s="14"/>
    </row>
    <row r="325" s="1" customFormat="1" ht="15.75" spans="1:7">
      <c r="A325" s="8"/>
      <c r="B325" s="9"/>
      <c r="C325" s="9"/>
      <c r="D325" s="9"/>
      <c r="E325" s="9"/>
      <c r="F325" s="9"/>
      <c r="G325" s="14"/>
    </row>
    <row r="326" s="1" customFormat="1" ht="15.75" spans="1:7">
      <c r="A326" s="8"/>
      <c r="B326" s="9"/>
      <c r="C326" s="9"/>
      <c r="D326" s="9"/>
      <c r="E326" s="9"/>
      <c r="F326" s="9"/>
      <c r="G326" s="14"/>
    </row>
  </sheetData>
  <mergeCells count="9">
    <mergeCell ref="A1:F1"/>
    <mergeCell ref="A2:F2"/>
    <mergeCell ref="A3:F3"/>
    <mergeCell ref="A4:F4"/>
    <mergeCell ref="A5:F5"/>
    <mergeCell ref="A7:F7"/>
    <mergeCell ref="A8:F8"/>
    <mergeCell ref="D141:F141"/>
    <mergeCell ref="D143:F143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MZO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FOI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Alenka</cp:lastModifiedBy>
  <dcterms:created xsi:type="dcterms:W3CDTF">2024-02-22T20:30:00Z</dcterms:created>
  <cp:lastPrinted>2024-07-29T09:15:00Z</cp:lastPrinted>
  <dcterms:modified xsi:type="dcterms:W3CDTF">2024-09-13T07:46:44Z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886AD4C2DE6341509083F6A2F37094E9_13</vt:lpwstr>
  </property>
  <property fmtid="{D5CDD505-2E9C-101B-9397-08002B2CF9AE}" pid="3" name="KSOProductBuildVer">
    <vt:lpwstr>1033-12.2.0.18199</vt:lpwstr>
  </property>
</Properties>
</file>